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535" activeTab="0"/>
  </bookViews>
  <sheets>
    <sheet name="Лист1" sheetId="1" r:id="rId1"/>
  </sheets>
  <definedNames>
    <definedName name="_xlnm.Print_Titles" localSheetId="0">'Лист1'!$6:$8</definedName>
  </definedNames>
  <calcPr fullCalcOnLoad="1"/>
</workbook>
</file>

<file path=xl/comments1.xml><?xml version="1.0" encoding="utf-8"?>
<comments xmlns="http://schemas.openxmlformats.org/spreadsheetml/2006/main">
  <authors>
    <author>Баженова Мария Ивановна</author>
  </authors>
  <commentList>
    <comment ref="R31" authorId="0">
      <text>
        <r>
          <rPr>
            <b/>
            <sz val="9"/>
            <rFont val="Tahoma"/>
            <family val="2"/>
          </rPr>
          <t>Баженова Мария Ивановна:</t>
        </r>
        <r>
          <rPr>
            <sz val="9"/>
            <rFont val="Tahoma"/>
            <family val="2"/>
          </rPr>
          <t xml:space="preserve">
отработано</t>
        </r>
      </text>
    </comment>
    <comment ref="R50" authorId="0">
      <text>
        <r>
          <rPr>
            <b/>
            <sz val="9"/>
            <rFont val="Tahoma"/>
            <family val="2"/>
          </rPr>
          <t>Баженова Мария Ивановна:</t>
        </r>
        <r>
          <rPr>
            <sz val="9"/>
            <rFont val="Tahoma"/>
            <family val="2"/>
          </rPr>
          <t xml:space="preserve">
отработано</t>
        </r>
      </text>
    </comment>
  </commentList>
</comments>
</file>

<file path=xl/sharedStrings.xml><?xml version="1.0" encoding="utf-8"?>
<sst xmlns="http://schemas.openxmlformats.org/spreadsheetml/2006/main" count="246" uniqueCount="131">
  <si>
    <t>Показатели</t>
  </si>
  <si>
    <t>Единица измерения</t>
  </si>
  <si>
    <t>отчет</t>
  </si>
  <si>
    <t>оценка</t>
  </si>
  <si>
    <t>прогноз</t>
  </si>
  <si>
    <t>1. Население</t>
  </si>
  <si>
    <t>в % к предыдущему году</t>
  </si>
  <si>
    <t>%</t>
  </si>
  <si>
    <t>Ввод в эксплуатацию жилых домов</t>
  </si>
  <si>
    <t>кв. м</t>
  </si>
  <si>
    <t>Индекс-дефлятор товарооборота к предыдущему году</t>
  </si>
  <si>
    <t>Индекс потребительских цен (к декабрю предыдущего года)</t>
  </si>
  <si>
    <t>тыс. человек</t>
  </si>
  <si>
    <t>руб.</t>
  </si>
  <si>
    <t>Количество родившихся</t>
  </si>
  <si>
    <t>Количество умерших</t>
  </si>
  <si>
    <t>Естественный прирост (+), убыль (-)</t>
  </si>
  <si>
    <t>Миграция населения</t>
  </si>
  <si>
    <t>прибыло</t>
  </si>
  <si>
    <t>выбыло</t>
  </si>
  <si>
    <t>Миграционный прирост (+), снижение (-)</t>
  </si>
  <si>
    <t>рублей</t>
  </si>
  <si>
    <t>Оборот розничной торговли по крупным и средним предприятиям</t>
  </si>
  <si>
    <t>Оборот общественного питания по крупным и средним предприятиям</t>
  </si>
  <si>
    <t xml:space="preserve">в % к предыдущему году в сопоставимых ценах </t>
  </si>
  <si>
    <t>Объем отгруженных товаров собственного производства, выполненных работ и услуг собственными силами, по видам деятельности, относящимся к промышленному производству по крупным и средним предприятиям</t>
  </si>
  <si>
    <t>Среднемесячная заработная плата одного работника по крупным и средним предприятиям</t>
  </si>
  <si>
    <t>Сальдированный финансовый результат (прибыль-убыток) по крупным и средним предприятиям</t>
  </si>
  <si>
    <t>добыча полезных ископаемых</t>
  </si>
  <si>
    <t>обрабатывающие производства</t>
  </si>
  <si>
    <t>млн. рублей</t>
  </si>
  <si>
    <t>Сальдированный финансовый результат организаций промышленности (прибыль – убыток)</t>
  </si>
  <si>
    <t>Финансовый результат прибыльных организаций</t>
  </si>
  <si>
    <t>Финансовый результат прибыльных организаций промышленности</t>
  </si>
  <si>
    <t>в том числе по видам экономической деятельности:</t>
  </si>
  <si>
    <t>Удельный вес прибыльных организаций в общем числе организаций</t>
  </si>
  <si>
    <t>Сумма дивидендов по акциям, находящимся в муниципальной собственности</t>
  </si>
  <si>
    <t>Поступления от реализации имущества, находящегося в муниципальной собственности</t>
  </si>
  <si>
    <t>Поступления от продажи акций, находящихся в муниципальной собственности</t>
  </si>
  <si>
    <t>Поступления от сдачи в аренду имущества, входящего в состав муниципальной казны</t>
  </si>
  <si>
    <t>тыс. рублей</t>
  </si>
  <si>
    <t>человек</t>
  </si>
  <si>
    <t>Численность работников, предполагаемых к увольнению  с градообразующего предприятия</t>
  </si>
  <si>
    <t>в % к предыдущему году в сопоставимых ценах</t>
  </si>
  <si>
    <t>Численность постоянного населения (среднегодовая) - всего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</si>
  <si>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</si>
  <si>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</si>
  <si>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</si>
  <si>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</si>
  <si>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человек на 1000 населения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</si>
  <si>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</si>
  <si>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</si>
  <si>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</si>
  <si>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2. Денежные доходы и расходы населения</t>
  </si>
  <si>
    <t>Доходы - всего</t>
  </si>
  <si>
    <t>тыс. руб.</t>
  </si>
  <si>
    <t>в том числе:</t>
  </si>
  <si>
    <t>Реальные располагаемые денежные доходы населения</t>
  </si>
  <si>
    <t>Денежные доходы в расчете на душу населения в месяц</t>
  </si>
  <si>
    <t>Расходы и сбережения - всего</t>
  </si>
  <si>
    <t>Превышение доходов над расходами  (+),  или расходов над доходами (-)</t>
  </si>
  <si>
    <t>Величина прожиточного минимума в среднем на душу населения в месяц</t>
  </si>
  <si>
    <t>в % ко всему населению</t>
  </si>
  <si>
    <t xml:space="preserve">3. Трудовые ресурсы </t>
  </si>
  <si>
    <t xml:space="preserve"> человек</t>
  </si>
  <si>
    <t xml:space="preserve">Численность занятых в экономике (среднегодовая) – всего, </t>
  </si>
  <si>
    <t xml:space="preserve">Доля занятых в экономике в общей численности трудовых ресурсов </t>
  </si>
  <si>
    <t>Численность незанятых в экономике</t>
  </si>
  <si>
    <t xml:space="preserve">человек </t>
  </si>
  <si>
    <t>Численность населения в трудоспособном возрасте</t>
  </si>
  <si>
    <t>Уровень занятости населения (отношение занятого населения к численности  населения в трудоспособном возрасте)</t>
  </si>
  <si>
    <t>Численность безработных, зарегистрированных в органах государственной службы занятости</t>
  </si>
  <si>
    <t>Экономически активное население (считается  возраст от 15 до 72 лет)</t>
  </si>
  <si>
    <t>Уровень зарегистрированной безработицы (общее количество зарегистрированных безработных к экономически активному населению)</t>
  </si>
  <si>
    <t>Уровень общей безработицы (отношение общей численности безработных к экономически активному населению)</t>
  </si>
  <si>
    <t>человек на  1000 населения</t>
  </si>
  <si>
    <t>4. Занятость населения</t>
  </si>
  <si>
    <t xml:space="preserve">Общая численность безработных </t>
  </si>
  <si>
    <t>Инвестиции в основной капитал по источникам финансирования:</t>
  </si>
  <si>
    <t xml:space="preserve">  Собственные средства предприятий</t>
  </si>
  <si>
    <t xml:space="preserve">     из них:</t>
  </si>
  <si>
    <t xml:space="preserve">          прибыль</t>
  </si>
  <si>
    <t xml:space="preserve">          амортизация</t>
  </si>
  <si>
    <t xml:space="preserve">  Привлеченные средства</t>
  </si>
  <si>
    <t xml:space="preserve">          кредиты банков,</t>
  </si>
  <si>
    <t xml:space="preserve">    в т.ч. кредиты иностранных банков</t>
  </si>
  <si>
    <t xml:space="preserve">   заемные средства других организаций</t>
  </si>
  <si>
    <t xml:space="preserve">          бюджетные средства</t>
  </si>
  <si>
    <t xml:space="preserve">             в том числе:</t>
  </si>
  <si>
    <t xml:space="preserve">               из федерального бюджета</t>
  </si>
  <si>
    <t xml:space="preserve">               из областного бюджета</t>
  </si>
  <si>
    <t xml:space="preserve">               из бюджета муниципального образования</t>
  </si>
  <si>
    <t xml:space="preserve">           средства внебюджетных фондов</t>
  </si>
  <si>
    <t xml:space="preserve">           прочие</t>
  </si>
  <si>
    <t>Инвестиции в основной капитал за счет всех источников финансирования</t>
  </si>
  <si>
    <t xml:space="preserve"> в ценах соответствующих лет, тыс. руб.</t>
  </si>
  <si>
    <t>% к предыдущему году в сопоставимых ценах</t>
  </si>
  <si>
    <t xml:space="preserve">Индекс физического объема инвестиций в основной капитал </t>
  </si>
  <si>
    <t>Численность населения с  денежными доходами  ниже величины прожиточного минимума (по полному кругу)</t>
  </si>
  <si>
    <t>Среднесписочная численность работников (без внешних совместителей) по полному кругу</t>
  </si>
  <si>
    <t>Фонд начисленной заработной платы всех работников (по полному кругу)</t>
  </si>
  <si>
    <t>Среднесписочная численность работников градообразующей организации</t>
  </si>
  <si>
    <t>Оборот малых и средних предприятий на территории муниципального образования</t>
  </si>
  <si>
    <t>Среднесписочная численность работников малых и средних предприятий</t>
  </si>
  <si>
    <t>Объем отгруженных товаров собственного производства, выполненных работ и услуг собственными силами в муниципальном образовании</t>
  </si>
  <si>
    <t>Объем налоговых и неналоговых доходов бюджета муниципального образования</t>
  </si>
  <si>
    <t xml:space="preserve">Темп роста инвестиций в основной капитал </t>
  </si>
  <si>
    <t>Доля численности работников, занятых на малых и средних предприятиях (включая индивидуальных предпринимателей) в общей численности трудоспособного населения на территории муниципального образования</t>
  </si>
  <si>
    <t>№ п/п</t>
  </si>
  <si>
    <t>5. Потребительский рынок</t>
  </si>
  <si>
    <t>6. Промышленность</t>
  </si>
  <si>
    <t>7. Финансы</t>
  </si>
  <si>
    <t>8. Муниципальная собственность</t>
  </si>
  <si>
    <t xml:space="preserve">9. Инвестиции </t>
  </si>
  <si>
    <t xml:space="preserve">Основные показатели, представляемые для разработки прогноза социально-экономического развития  Российской Федерации на 2017 год и на период до 2020 года </t>
  </si>
  <si>
    <t>базовый</t>
  </si>
  <si>
    <t>консервативный</t>
  </si>
  <si>
    <t>целевой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</si>
  <si>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</si>
  <si>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</si>
  <si>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городское поселение "Шерловогорское"</t>
  </si>
  <si>
    <t>статистика</t>
  </si>
  <si>
    <t>уточнить</t>
  </si>
  <si>
    <t>формулы</t>
  </si>
  <si>
    <t>консервативный сценарий долже быть ниже базового</t>
  </si>
  <si>
    <t>не менять, краевые данные</t>
  </si>
  <si>
    <t>статистические данные в скобках, сильно разнятся с вашими данными</t>
  </si>
  <si>
    <t>статистика данные не дает</t>
  </si>
  <si>
    <t>рекомендуем вставить показатель и указать прогнозные данные, отчет за 2016 г. И оценку 2017 г.</t>
  </si>
  <si>
    <t xml:space="preserve"> - </t>
  </si>
  <si>
    <t xml:space="preserve"> -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</si>
</sst>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&quot;р.&quot;"/>
    <numFmt numFmtId="179" formatCode="#,##0.0"/>
    <numFmt numFmtId="180" formatCode="[$-FC19]d\ mmmm\ yyyy\ &quot;г.&quot;"/>
    <numFmt numFmtId="181" formatCode="000000"/>
    <numFmt numFmtId="182" formatCode="0.0%"/>
    <numFmt numFmtId="183" formatCode="0.00000"/>
    <numFmt numFmtId="184" formatCode="0.0000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2"/>
      <name val="Arial Cyr"/>
      <family val="2"/>
    </font>
    <font>
      <b/>
      <sz val="9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53" applyFont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left" wrapText="1"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wrapText="1"/>
    </xf>
    <xf numFmtId="0" fontId="5" fillId="34" borderId="0" xfId="0" applyFont="1" applyFill="1" applyAlignment="1">
      <alignment horizontal="left" wrapText="1"/>
    </xf>
    <xf numFmtId="0" fontId="5" fillId="35" borderId="0" xfId="0" applyFont="1" applyFill="1" applyAlignment="1">
      <alignment horizontal="left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36" borderId="0" xfId="0" applyFont="1" applyFill="1" applyAlignment="1">
      <alignment horizontal="left" wrapText="1"/>
    </xf>
    <xf numFmtId="0" fontId="5" fillId="33" borderId="10" xfId="0" applyFont="1" applyFill="1" applyBorder="1" applyAlignment="1">
      <alignment vertical="center" wrapText="1"/>
    </xf>
    <xf numFmtId="0" fontId="5" fillId="37" borderId="0" xfId="0" applyFont="1" applyFill="1" applyAlignment="1">
      <alignment horizontal="left" wrapText="1"/>
    </xf>
    <xf numFmtId="0" fontId="5" fillId="38" borderId="0" xfId="0" applyFont="1" applyFill="1" applyAlignment="1">
      <alignment horizontal="left" wrapText="1"/>
    </xf>
    <xf numFmtId="0" fontId="5" fillId="39" borderId="0" xfId="0" applyFont="1" applyFill="1" applyAlignment="1">
      <alignment horizontal="left" wrapText="1"/>
    </xf>
    <xf numFmtId="0" fontId="0" fillId="40" borderId="12" xfId="0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wrapText="1"/>
    </xf>
    <xf numFmtId="0" fontId="5" fillId="4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10" fontId="5" fillId="0" borderId="0" xfId="0" applyNumberFormat="1" applyFont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wrapText="1"/>
    </xf>
    <xf numFmtId="182" fontId="5" fillId="0" borderId="10" xfId="0" applyNumberFormat="1" applyFont="1" applyFill="1" applyBorder="1" applyAlignment="1">
      <alignment horizontal="center" wrapText="1"/>
    </xf>
    <xf numFmtId="176" fontId="5" fillId="0" borderId="10" xfId="0" applyNumberFormat="1" applyFont="1" applyFill="1" applyBorder="1" applyAlignment="1">
      <alignment horizontal="left" wrapText="1"/>
    </xf>
    <xf numFmtId="179" fontId="5" fillId="0" borderId="10" xfId="0" applyNumberFormat="1" applyFont="1" applyFill="1" applyBorder="1" applyAlignment="1">
      <alignment horizontal="center" wrapText="1"/>
    </xf>
    <xf numFmtId="179" fontId="5" fillId="0" borderId="10" xfId="0" applyNumberFormat="1" applyFont="1" applyFill="1" applyBorder="1" applyAlignment="1">
      <alignment horizontal="left" wrapText="1"/>
    </xf>
    <xf numFmtId="0" fontId="8" fillId="0" borderId="13" xfId="0" applyFont="1" applyFill="1" applyBorder="1" applyAlignment="1">
      <alignment vertical="top" wrapText="1"/>
    </xf>
    <xf numFmtId="9" fontId="5" fillId="0" borderId="10" xfId="58" applyFont="1" applyFill="1" applyBorder="1" applyAlignment="1">
      <alignment horizontal="center" wrapText="1"/>
    </xf>
    <xf numFmtId="182" fontId="5" fillId="0" borderId="10" xfId="58" applyNumberFormat="1" applyFont="1" applyFill="1" applyBorder="1" applyAlignment="1">
      <alignment horizontal="center" wrapText="1"/>
    </xf>
    <xf numFmtId="179" fontId="14" fillId="41" borderId="10" xfId="0" applyNumberFormat="1" applyFont="1" applyFill="1" applyBorder="1" applyAlignment="1" applyProtection="1">
      <alignment horizontal="center" vertical="center" wrapText="1"/>
      <protection locked="0"/>
    </xf>
    <xf numFmtId="179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left" vertical="center" wrapText="1"/>
      <protection/>
    </xf>
    <xf numFmtId="0" fontId="5" fillId="0" borderId="12" xfId="53" applyFont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0"/>
  <sheetViews>
    <sheetView tabSelected="1" zoomScale="85" zoomScaleNormal="85" zoomScalePageLayoutView="0" workbookViewId="0" topLeftCell="B4">
      <pane xSplit="1" ySplit="5" topLeftCell="H9" activePane="bottomRight" state="frozen"/>
      <selection pane="topLeft" activeCell="B4" sqref="B4"/>
      <selection pane="topRight" activeCell="C4" sqref="C4"/>
      <selection pane="bottomLeft" activeCell="B9" sqref="B9"/>
      <selection pane="bottomRight" activeCell="R50" sqref="R50"/>
    </sheetView>
  </sheetViews>
  <sheetFormatPr defaultColWidth="9.00390625" defaultRowHeight="12.75"/>
  <cols>
    <col min="1" max="1" width="6.375" style="12" customWidth="1"/>
    <col min="2" max="2" width="55.75390625" style="4" customWidth="1"/>
    <col min="3" max="3" width="24.625" style="5" customWidth="1"/>
    <col min="4" max="8" width="13.75390625" style="4" customWidth="1"/>
    <col min="9" max="9" width="12.375" style="4" customWidth="1"/>
    <col min="10" max="10" width="16.00390625" style="4" customWidth="1"/>
    <col min="11" max="11" width="10.625" style="4" customWidth="1"/>
    <col min="12" max="12" width="11.75390625" style="4" customWidth="1"/>
    <col min="13" max="13" width="12.75390625" style="4" customWidth="1"/>
    <col min="14" max="14" width="9.625" style="4" customWidth="1"/>
    <col min="15" max="15" width="10.875" style="4" customWidth="1"/>
    <col min="16" max="16" width="13.75390625" style="4" customWidth="1"/>
    <col min="17" max="17" width="10.625" style="4" customWidth="1"/>
    <col min="18" max="18" width="16.75390625" style="4" customWidth="1"/>
    <col min="19" max="16384" width="9.125" style="4" customWidth="1"/>
  </cols>
  <sheetData>
    <row r="1" spans="2:17" ht="11.25" customHeight="1"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2:17" ht="15">
      <c r="B2" s="79" t="s">
        <v>114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2:17" ht="8.25" customHeight="1"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2:17" ht="15">
      <c r="B4" s="69" t="s">
        <v>120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ht="14.25" customHeight="1"/>
    <row r="6" spans="1:17" ht="15">
      <c r="A6" s="80" t="s">
        <v>108</v>
      </c>
      <c r="B6" s="73" t="s">
        <v>0</v>
      </c>
      <c r="C6" s="73" t="s">
        <v>1</v>
      </c>
      <c r="D6" s="3" t="s">
        <v>2</v>
      </c>
      <c r="E6" s="3" t="s">
        <v>2</v>
      </c>
      <c r="F6" s="3" t="s">
        <v>2</v>
      </c>
      <c r="G6" s="3" t="s">
        <v>2</v>
      </c>
      <c r="H6" s="3" t="s">
        <v>3</v>
      </c>
      <c r="I6" s="70" t="s">
        <v>4</v>
      </c>
      <c r="J6" s="71"/>
      <c r="K6" s="71"/>
      <c r="L6" s="71"/>
      <c r="M6" s="71"/>
      <c r="N6" s="71"/>
      <c r="O6" s="71"/>
      <c r="P6" s="71"/>
      <c r="Q6" s="72"/>
    </row>
    <row r="7" spans="1:17" ht="15">
      <c r="A7" s="81"/>
      <c r="B7" s="73"/>
      <c r="C7" s="73"/>
      <c r="D7" s="73">
        <v>2014</v>
      </c>
      <c r="E7" s="73">
        <v>2015</v>
      </c>
      <c r="F7" s="73">
        <v>2016</v>
      </c>
      <c r="G7" s="73">
        <v>2017</v>
      </c>
      <c r="H7" s="73">
        <v>2018</v>
      </c>
      <c r="I7" s="74">
        <v>2019</v>
      </c>
      <c r="J7" s="75"/>
      <c r="K7" s="76"/>
      <c r="L7" s="74">
        <v>2020</v>
      </c>
      <c r="M7" s="75"/>
      <c r="N7" s="76"/>
      <c r="O7" s="70">
        <v>2021</v>
      </c>
      <c r="P7" s="71"/>
      <c r="Q7" s="72"/>
    </row>
    <row r="8" spans="1:17" ht="24">
      <c r="A8" s="82"/>
      <c r="B8" s="73"/>
      <c r="C8" s="73"/>
      <c r="D8" s="73"/>
      <c r="E8" s="73"/>
      <c r="F8" s="73"/>
      <c r="G8" s="73"/>
      <c r="H8" s="73"/>
      <c r="I8" s="22" t="s">
        <v>116</v>
      </c>
      <c r="J8" s="22" t="s">
        <v>115</v>
      </c>
      <c r="K8" s="22" t="s">
        <v>117</v>
      </c>
      <c r="L8" s="22" t="s">
        <v>116</v>
      </c>
      <c r="M8" s="22" t="s">
        <v>115</v>
      </c>
      <c r="N8" s="22" t="s">
        <v>117</v>
      </c>
      <c r="O8" s="22" t="s">
        <v>116</v>
      </c>
      <c r="P8" s="22" t="s">
        <v>115</v>
      </c>
      <c r="Q8" s="22" t="s">
        <v>117</v>
      </c>
    </row>
    <row r="9" spans="1:17" ht="24.75" customHeight="1">
      <c r="A9" s="52" t="s">
        <v>5</v>
      </c>
      <c r="B9" s="53"/>
      <c r="C9" s="18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5">
      <c r="A10" s="55">
        <v>1</v>
      </c>
      <c r="B10" s="56" t="s">
        <v>44</v>
      </c>
      <c r="C10" s="18" t="s">
        <v>12</v>
      </c>
      <c r="D10" s="18">
        <v>12.367</v>
      </c>
      <c r="E10" s="18">
        <v>12.323</v>
      </c>
      <c r="F10" s="18">
        <v>12.215</v>
      </c>
      <c r="G10" s="18">
        <v>12.105</v>
      </c>
      <c r="H10" s="18">
        <v>12.1</v>
      </c>
      <c r="I10" s="18">
        <v>12.108</v>
      </c>
      <c r="J10" s="18">
        <v>12.11</v>
      </c>
      <c r="K10" s="18">
        <v>12.116</v>
      </c>
      <c r="L10" s="18">
        <v>12.111</v>
      </c>
      <c r="M10" s="18">
        <v>12.114</v>
      </c>
      <c r="N10" s="24">
        <v>12.118</v>
      </c>
      <c r="O10" s="24">
        <v>12.12</v>
      </c>
      <c r="P10" s="24">
        <v>12.14</v>
      </c>
      <c r="Q10" s="24">
        <v>12.15</v>
      </c>
    </row>
    <row r="11" spans="1:17" ht="30">
      <c r="A11" s="55"/>
      <c r="B11" s="56"/>
      <c r="C11" s="18" t="s">
        <v>6</v>
      </c>
      <c r="D11" s="18">
        <v>99.5</v>
      </c>
      <c r="E11" s="18">
        <v>99.6</v>
      </c>
      <c r="F11" s="27">
        <f>F10/E10*100</f>
        <v>99.1235900348941</v>
      </c>
      <c r="G11" s="27">
        <f>G10/F10*100</f>
        <v>99.09946786737618</v>
      </c>
      <c r="H11" s="27">
        <f>H10/G10*100</f>
        <v>99.95869475423378</v>
      </c>
      <c r="I11" s="27">
        <f>I10/H10*100</f>
        <v>100.06611570247934</v>
      </c>
      <c r="J11" s="27">
        <f>J10/H10*100</f>
        <v>100.08264462809917</v>
      </c>
      <c r="K11" s="27">
        <f>K10/H10*100</f>
        <v>100.13223140495869</v>
      </c>
      <c r="L11" s="27">
        <f aca="true" t="shared" si="0" ref="L11:Q11">L10/I10*100</f>
        <v>100.02477700693757</v>
      </c>
      <c r="M11" s="27">
        <f t="shared" si="0"/>
        <v>100.03303055326178</v>
      </c>
      <c r="N11" s="27">
        <f t="shared" si="0"/>
        <v>100.01650709805216</v>
      </c>
      <c r="O11" s="27">
        <f t="shared" si="0"/>
        <v>100.07431260837254</v>
      </c>
      <c r="P11" s="27">
        <f t="shared" si="0"/>
        <v>100.21462770348357</v>
      </c>
      <c r="Q11" s="27">
        <f t="shared" si="0"/>
        <v>100.26406997854431</v>
      </c>
    </row>
    <row r="12" spans="1:17" ht="24" customHeight="1">
      <c r="A12" s="2">
        <v>2</v>
      </c>
      <c r="B12" s="1" t="s">
        <v>46</v>
      </c>
      <c r="C12" s="18" t="s">
        <v>47</v>
      </c>
      <c r="D12" s="18">
        <v>67.38</v>
      </c>
      <c r="E12" s="18">
        <v>67.8</v>
      </c>
      <c r="F12" s="18">
        <v>68.1</v>
      </c>
      <c r="G12" s="18">
        <v>68.1</v>
      </c>
      <c r="H12" s="18">
        <v>68.1</v>
      </c>
      <c r="I12" s="18">
        <v>68.1</v>
      </c>
      <c r="J12" s="18">
        <v>68.1</v>
      </c>
      <c r="K12" s="18">
        <v>68.1</v>
      </c>
      <c r="L12" s="18">
        <v>68.1</v>
      </c>
      <c r="M12" s="18">
        <v>68.1</v>
      </c>
      <c r="N12" s="24">
        <v>68.1</v>
      </c>
      <c r="O12" s="24">
        <v>68.1</v>
      </c>
      <c r="P12" s="24">
        <v>68.1</v>
      </c>
      <c r="Q12" s="24">
        <v>68.1</v>
      </c>
    </row>
    <row r="13" spans="1:17" ht="15">
      <c r="A13" s="55">
        <v>3</v>
      </c>
      <c r="B13" s="56" t="s">
        <v>14</v>
      </c>
      <c r="C13" s="18" t="s">
        <v>12</v>
      </c>
      <c r="D13" s="18">
        <v>0.167</v>
      </c>
      <c r="E13" s="18">
        <v>0.157</v>
      </c>
      <c r="F13" s="18">
        <v>0.182</v>
      </c>
      <c r="G13" s="18">
        <v>0.119</v>
      </c>
      <c r="H13" s="18">
        <v>0.112</v>
      </c>
      <c r="I13" s="18">
        <v>0.113</v>
      </c>
      <c r="J13" s="18">
        <v>0.115</v>
      </c>
      <c r="K13" s="18">
        <v>0.117</v>
      </c>
      <c r="L13" s="18">
        <v>0.122</v>
      </c>
      <c r="M13" s="18">
        <v>0.12</v>
      </c>
      <c r="N13" s="24">
        <v>0.129</v>
      </c>
      <c r="O13" s="24">
        <v>0.129</v>
      </c>
      <c r="P13" s="24">
        <v>0.13</v>
      </c>
      <c r="Q13" s="24">
        <v>0.135</v>
      </c>
    </row>
    <row r="14" spans="1:17" ht="30">
      <c r="A14" s="55"/>
      <c r="B14" s="56"/>
      <c r="C14" s="18" t="s">
        <v>6</v>
      </c>
      <c r="D14" s="18">
        <v>84.3</v>
      </c>
      <c r="E14" s="18">
        <v>94</v>
      </c>
      <c r="F14" s="27">
        <f>F13/E13*100</f>
        <v>115.92356687898089</v>
      </c>
      <c r="G14" s="27">
        <f>G13/F13*100</f>
        <v>65.38461538461539</v>
      </c>
      <c r="H14" s="27">
        <f>H13/F13*100</f>
        <v>61.53846153846154</v>
      </c>
      <c r="I14" s="27">
        <f>I13/H13*100</f>
        <v>100.89285714285714</v>
      </c>
      <c r="J14" s="27">
        <f>J13/H13*100</f>
        <v>102.67857142857144</v>
      </c>
      <c r="K14" s="27">
        <f aca="true" t="shared" si="1" ref="K14:Q14">K13/H13*100</f>
        <v>104.46428571428572</v>
      </c>
      <c r="L14" s="27">
        <f t="shared" si="1"/>
        <v>107.9646017699115</v>
      </c>
      <c r="M14" s="27">
        <f t="shared" si="1"/>
        <v>104.34782608695652</v>
      </c>
      <c r="N14" s="27">
        <f t="shared" si="1"/>
        <v>110.25641025641025</v>
      </c>
      <c r="O14" s="27">
        <f t="shared" si="1"/>
        <v>105.73770491803278</v>
      </c>
      <c r="P14" s="27">
        <f t="shared" si="1"/>
        <v>108.33333333333334</v>
      </c>
      <c r="Q14" s="27">
        <f t="shared" si="1"/>
        <v>104.65116279069768</v>
      </c>
    </row>
    <row r="15" spans="1:17" ht="30">
      <c r="A15" s="2">
        <v>4</v>
      </c>
      <c r="B15" s="29" t="s">
        <v>48</v>
      </c>
      <c r="C15" s="18" t="s">
        <v>49</v>
      </c>
      <c r="D15" s="27">
        <f aca="true" t="shared" si="2" ref="D15:I15">D13/D10*1000</f>
        <v>13.50367914611466</v>
      </c>
      <c r="E15" s="27">
        <f t="shared" si="2"/>
        <v>12.740404122372798</v>
      </c>
      <c r="F15" s="27">
        <f t="shared" si="2"/>
        <v>14.899713467048711</v>
      </c>
      <c r="G15" s="27">
        <f t="shared" si="2"/>
        <v>9.830648492358527</v>
      </c>
      <c r="H15" s="27">
        <f t="shared" si="2"/>
        <v>9.25619834710744</v>
      </c>
      <c r="I15" s="27">
        <f t="shared" si="2"/>
        <v>9.33267261314833</v>
      </c>
      <c r="J15" s="27">
        <f aca="true" t="shared" si="3" ref="J15:Q15">J13/J10*1000</f>
        <v>9.496284062758052</v>
      </c>
      <c r="K15" s="27">
        <f t="shared" si="3"/>
        <v>9.656652360515022</v>
      </c>
      <c r="L15" s="27">
        <f t="shared" si="3"/>
        <v>10.073486912723968</v>
      </c>
      <c r="M15" s="27">
        <f t="shared" si="3"/>
        <v>9.905894006934126</v>
      </c>
      <c r="N15" s="27">
        <f t="shared" si="3"/>
        <v>10.645321010067669</v>
      </c>
      <c r="O15" s="27">
        <f t="shared" si="3"/>
        <v>10.643564356435645</v>
      </c>
      <c r="P15" s="27">
        <f t="shared" si="3"/>
        <v>10.708401976935749</v>
      </c>
      <c r="Q15" s="27">
        <f t="shared" si="3"/>
        <v>11.11111111111111</v>
      </c>
    </row>
    <row r="16" spans="1:17" ht="15">
      <c r="A16" s="55">
        <v>5</v>
      </c>
      <c r="B16" s="56" t="s">
        <v>15</v>
      </c>
      <c r="C16" s="18" t="s">
        <v>12</v>
      </c>
      <c r="D16" s="18">
        <v>0.161</v>
      </c>
      <c r="E16" s="18">
        <v>0.171</v>
      </c>
      <c r="F16" s="18">
        <v>0.186</v>
      </c>
      <c r="G16" s="18">
        <v>0.154</v>
      </c>
      <c r="H16" s="18">
        <v>0.142</v>
      </c>
      <c r="I16" s="18">
        <v>0.135</v>
      </c>
      <c r="J16" s="18">
        <v>0.14</v>
      </c>
      <c r="K16" s="18">
        <v>0.15</v>
      </c>
      <c r="L16" s="18">
        <v>0.131</v>
      </c>
      <c r="M16" s="18">
        <v>0.135</v>
      </c>
      <c r="N16" s="24">
        <v>0.14</v>
      </c>
      <c r="O16" s="24">
        <v>0.125</v>
      </c>
      <c r="P16" s="24">
        <v>0.13</v>
      </c>
      <c r="Q16" s="24">
        <v>0.137</v>
      </c>
    </row>
    <row r="17" spans="1:17" ht="30">
      <c r="A17" s="55"/>
      <c r="B17" s="56"/>
      <c r="C17" s="18" t="s">
        <v>6</v>
      </c>
      <c r="D17" s="18">
        <v>89</v>
      </c>
      <c r="E17" s="18">
        <v>106.4</v>
      </c>
      <c r="F17" s="27">
        <f>F16/E16*100</f>
        <v>108.77192982456138</v>
      </c>
      <c r="G17" s="27">
        <f>G16/F16*100</f>
        <v>82.79569892473118</v>
      </c>
      <c r="H17" s="27">
        <f>H16/F16*100</f>
        <v>76.34408602150538</v>
      </c>
      <c r="I17" s="27">
        <f>I16/H16*100</f>
        <v>95.07042253521128</v>
      </c>
      <c r="J17" s="27">
        <f>J16/H16*100</f>
        <v>98.59154929577466</v>
      </c>
      <c r="K17" s="27">
        <f aca="true" t="shared" si="4" ref="K17:Q17">K16/H16*100</f>
        <v>105.63380281690142</v>
      </c>
      <c r="L17" s="27">
        <f t="shared" si="4"/>
        <v>97.03703703703704</v>
      </c>
      <c r="M17" s="27">
        <f t="shared" si="4"/>
        <v>96.42857142857143</v>
      </c>
      <c r="N17" s="27">
        <f t="shared" si="4"/>
        <v>93.33333333333334</v>
      </c>
      <c r="O17" s="27">
        <f t="shared" si="4"/>
        <v>95.41984732824427</v>
      </c>
      <c r="P17" s="27">
        <f t="shared" si="4"/>
        <v>96.29629629629629</v>
      </c>
      <c r="Q17" s="27">
        <f t="shared" si="4"/>
        <v>97.85714285714285</v>
      </c>
    </row>
    <row r="18" spans="1:17" ht="30">
      <c r="A18" s="2">
        <v>6</v>
      </c>
      <c r="B18" s="1" t="s">
        <v>50</v>
      </c>
      <c r="C18" s="18" t="s">
        <v>49</v>
      </c>
      <c r="D18" s="18">
        <v>13</v>
      </c>
      <c r="E18" s="18">
        <v>13.9</v>
      </c>
      <c r="F18" s="27">
        <f>F16/F10*1000</f>
        <v>15.227179697093737</v>
      </c>
      <c r="G18" s="27">
        <f>G16/G10*1000</f>
        <v>12.722015695993392</v>
      </c>
      <c r="H18" s="27">
        <f>H16/H10*1000</f>
        <v>11.735537190082644</v>
      </c>
      <c r="I18" s="27">
        <f aca="true" t="shared" si="5" ref="I18:Q18">I16/I10*1000</f>
        <v>11.149653121902874</v>
      </c>
      <c r="J18" s="27">
        <f t="shared" si="5"/>
        <v>11.560693641618498</v>
      </c>
      <c r="K18" s="27">
        <f t="shared" si="5"/>
        <v>12.380323539121822</v>
      </c>
      <c r="L18" s="27">
        <f t="shared" si="5"/>
        <v>10.816612996449507</v>
      </c>
      <c r="M18" s="27">
        <f t="shared" si="5"/>
        <v>11.144130757800891</v>
      </c>
      <c r="N18" s="27">
        <f t="shared" si="5"/>
        <v>11.553061561313749</v>
      </c>
      <c r="O18" s="27">
        <f t="shared" si="5"/>
        <v>10.313531353135314</v>
      </c>
      <c r="P18" s="27">
        <f t="shared" si="5"/>
        <v>10.708401976935749</v>
      </c>
      <c r="Q18" s="27">
        <f t="shared" si="5"/>
        <v>11.275720164609053</v>
      </c>
    </row>
    <row r="19" spans="1:17" ht="15">
      <c r="A19" s="55">
        <v>7</v>
      </c>
      <c r="B19" s="56" t="s">
        <v>16</v>
      </c>
      <c r="C19" s="18" t="s">
        <v>12</v>
      </c>
      <c r="D19" s="18">
        <v>0.006</v>
      </c>
      <c r="E19" s="18">
        <v>-0.014</v>
      </c>
      <c r="F19" s="18">
        <f>F13-F16</f>
        <v>-0.0040000000000000036</v>
      </c>
      <c r="G19" s="18">
        <f>G13-G16</f>
        <v>-0.035</v>
      </c>
      <c r="H19" s="18">
        <f>H13-H16</f>
        <v>-0.029999999999999985</v>
      </c>
      <c r="I19" s="18">
        <f aca="true" t="shared" si="6" ref="I19:Q19">I13-I16</f>
        <v>-0.022000000000000006</v>
      </c>
      <c r="J19" s="18">
        <f t="shared" si="6"/>
        <v>-0.02500000000000001</v>
      </c>
      <c r="K19" s="18">
        <f t="shared" si="6"/>
        <v>-0.03299999999999999</v>
      </c>
      <c r="L19" s="18">
        <f t="shared" si="6"/>
        <v>-0.009000000000000008</v>
      </c>
      <c r="M19" s="18">
        <f t="shared" si="6"/>
        <v>-0.015000000000000013</v>
      </c>
      <c r="N19" s="18">
        <f t="shared" si="6"/>
        <v>-0.01100000000000001</v>
      </c>
      <c r="O19" s="18">
        <f t="shared" si="6"/>
        <v>0.0040000000000000036</v>
      </c>
      <c r="P19" s="18">
        <f t="shared" si="6"/>
        <v>0</v>
      </c>
      <c r="Q19" s="18">
        <f t="shared" si="6"/>
        <v>-0.0020000000000000018</v>
      </c>
    </row>
    <row r="20" spans="1:17" ht="30">
      <c r="A20" s="55"/>
      <c r="B20" s="56"/>
      <c r="C20" s="18" t="s">
        <v>6</v>
      </c>
      <c r="D20" s="18">
        <v>35.3</v>
      </c>
      <c r="E20" s="27">
        <f>E19/D19*100</f>
        <v>-233.33333333333334</v>
      </c>
      <c r="F20" s="27">
        <f>F19/E19*100</f>
        <v>28.571428571428598</v>
      </c>
      <c r="G20" s="27">
        <f>G19/F19*100</f>
        <v>874.9999999999993</v>
      </c>
      <c r="H20" s="27">
        <f>H19/G19*100</f>
        <v>85.71428571428567</v>
      </c>
      <c r="I20" s="27">
        <f>I19/H19*100</f>
        <v>73.33333333333339</v>
      </c>
      <c r="J20" s="27">
        <f>J19/H19*100</f>
        <v>83.3333333333334</v>
      </c>
      <c r="K20" s="27">
        <f aca="true" t="shared" si="7" ref="K20:Q20">K19/H19*100</f>
        <v>110.00000000000001</v>
      </c>
      <c r="L20" s="27">
        <f t="shared" si="7"/>
        <v>40.909090909090935</v>
      </c>
      <c r="M20" s="27">
        <f t="shared" si="7"/>
        <v>60.00000000000003</v>
      </c>
      <c r="N20" s="27">
        <f t="shared" si="7"/>
        <v>33.33333333333338</v>
      </c>
      <c r="O20" s="27">
        <f t="shared" si="7"/>
        <v>-44.44444444444444</v>
      </c>
      <c r="P20" s="27">
        <f t="shared" si="7"/>
        <v>0</v>
      </c>
      <c r="Q20" s="27">
        <f t="shared" si="7"/>
        <v>18.181818181818183</v>
      </c>
    </row>
    <row r="21" spans="1:17" ht="30">
      <c r="A21" s="2">
        <v>8</v>
      </c>
      <c r="B21" s="1" t="s">
        <v>51</v>
      </c>
      <c r="C21" s="18" t="s">
        <v>49</v>
      </c>
      <c r="D21" s="18">
        <v>0.5</v>
      </c>
      <c r="E21" s="18">
        <v>-1.2</v>
      </c>
      <c r="F21" s="27">
        <f>F19/F10*1000</f>
        <v>-0.3274662300450269</v>
      </c>
      <c r="G21" s="27">
        <f>G19/G10*1000</f>
        <v>-2.8913672036348617</v>
      </c>
      <c r="H21" s="27">
        <f>H19/H10*1000</f>
        <v>-2.4793388429752055</v>
      </c>
      <c r="I21" s="27">
        <f aca="true" t="shared" si="8" ref="I21:Q21">I19/I10*1000</f>
        <v>-1.8169805087545428</v>
      </c>
      <c r="J21" s="27">
        <f t="shared" si="8"/>
        <v>-2.0644095788604466</v>
      </c>
      <c r="K21" s="27">
        <f t="shared" si="8"/>
        <v>-2.7236711786068</v>
      </c>
      <c r="L21" s="27">
        <f t="shared" si="8"/>
        <v>-0.7431260837255395</v>
      </c>
      <c r="M21" s="27">
        <f t="shared" si="8"/>
        <v>-1.2382367508667667</v>
      </c>
      <c r="N21" s="27">
        <f t="shared" si="8"/>
        <v>-0.907740551246081</v>
      </c>
      <c r="O21" s="27">
        <f t="shared" si="8"/>
        <v>0.33003300330033036</v>
      </c>
      <c r="P21" s="27">
        <f t="shared" si="8"/>
        <v>0</v>
      </c>
      <c r="Q21" s="27">
        <f t="shared" si="8"/>
        <v>-0.16460905349794253</v>
      </c>
    </row>
    <row r="22" spans="1:17" ht="15">
      <c r="A22" s="55">
        <v>9</v>
      </c>
      <c r="B22" s="56" t="s">
        <v>17</v>
      </c>
      <c r="C22" s="18" t="s">
        <v>12</v>
      </c>
      <c r="D22" s="18"/>
      <c r="E22" s="18"/>
      <c r="F22" s="18"/>
      <c r="G22" s="40"/>
      <c r="H22" s="40"/>
      <c r="I22" s="40"/>
      <c r="J22" s="40"/>
      <c r="K22" s="40"/>
      <c r="L22" s="40"/>
      <c r="M22" s="40"/>
      <c r="N22" s="39"/>
      <c r="O22" s="39"/>
      <c r="P22" s="39"/>
      <c r="Q22" s="39"/>
    </row>
    <row r="23" spans="1:17" ht="15">
      <c r="A23" s="55"/>
      <c r="B23" s="56"/>
      <c r="C23" s="18" t="s">
        <v>18</v>
      </c>
      <c r="D23" s="18">
        <v>0.434</v>
      </c>
      <c r="E23" s="18">
        <v>0.43</v>
      </c>
      <c r="F23" s="41">
        <v>0.333</v>
      </c>
      <c r="G23" s="18">
        <v>0.358</v>
      </c>
      <c r="H23" s="18">
        <v>0.184</v>
      </c>
      <c r="I23" s="18">
        <v>0.2</v>
      </c>
      <c r="J23" s="18">
        <v>0.19</v>
      </c>
      <c r="K23" s="18">
        <v>0.25</v>
      </c>
      <c r="L23" s="18">
        <v>0.26</v>
      </c>
      <c r="M23" s="18">
        <v>0.2</v>
      </c>
      <c r="N23" s="24">
        <v>0.29</v>
      </c>
      <c r="O23" s="24">
        <v>0.27</v>
      </c>
      <c r="P23" s="24">
        <v>0.23</v>
      </c>
      <c r="Q23" s="24">
        <v>0.34</v>
      </c>
    </row>
    <row r="24" spans="1:17" ht="15">
      <c r="A24" s="55"/>
      <c r="B24" s="56"/>
      <c r="C24" s="18" t="s">
        <v>19</v>
      </c>
      <c r="D24" s="18">
        <v>0.476</v>
      </c>
      <c r="E24" s="18">
        <v>0.467</v>
      </c>
      <c r="F24" s="41">
        <v>0.495</v>
      </c>
      <c r="G24" s="18">
        <v>0.377</v>
      </c>
      <c r="H24" s="18">
        <v>0.296</v>
      </c>
      <c r="I24" s="18">
        <v>0.096</v>
      </c>
      <c r="J24" s="18">
        <v>0.115</v>
      </c>
      <c r="K24" s="18">
        <v>0.09</v>
      </c>
      <c r="L24" s="18">
        <v>0.09</v>
      </c>
      <c r="M24" s="18">
        <v>0.097</v>
      </c>
      <c r="N24" s="24">
        <v>0.086</v>
      </c>
      <c r="O24" s="24">
        <v>0.087</v>
      </c>
      <c r="P24" s="24">
        <v>0.083</v>
      </c>
      <c r="Q24" s="24">
        <v>0.08</v>
      </c>
    </row>
    <row r="25" spans="1:17" ht="30">
      <c r="A25" s="55"/>
      <c r="B25" s="56"/>
      <c r="C25" s="18" t="s">
        <v>6</v>
      </c>
      <c r="D25" s="18"/>
      <c r="E25" s="18"/>
      <c r="F25" s="18"/>
      <c r="G25" s="18"/>
      <c r="H25" s="18"/>
      <c r="I25" s="40"/>
      <c r="J25" s="40"/>
      <c r="K25" s="40"/>
      <c r="L25" s="40"/>
      <c r="M25" s="40"/>
      <c r="N25" s="39"/>
      <c r="O25" s="39"/>
      <c r="P25" s="39"/>
      <c r="Q25" s="39"/>
    </row>
    <row r="26" spans="1:17" ht="15">
      <c r="A26" s="55"/>
      <c r="B26" s="56"/>
      <c r="C26" s="18" t="s">
        <v>18</v>
      </c>
      <c r="D26" s="18">
        <v>159</v>
      </c>
      <c r="E26" s="18">
        <v>99.1</v>
      </c>
      <c r="F26" s="27">
        <f aca="true" t="shared" si="9" ref="F26:I27">F23/E23*100</f>
        <v>77.44186046511629</v>
      </c>
      <c r="G26" s="27">
        <f>G23/F23*100</f>
        <v>107.50750750750751</v>
      </c>
      <c r="H26" s="27">
        <f>H23/F23*100</f>
        <v>55.25525525525525</v>
      </c>
      <c r="I26" s="27">
        <f t="shared" si="9"/>
        <v>108.69565217391306</v>
      </c>
      <c r="J26" s="27">
        <f>J23/H23*100</f>
        <v>103.26086956521738</v>
      </c>
      <c r="K26" s="27">
        <f aca="true" t="shared" si="10" ref="K26:Q27">K23/H23*100</f>
        <v>135.8695652173913</v>
      </c>
      <c r="L26" s="27">
        <f t="shared" si="10"/>
        <v>130</v>
      </c>
      <c r="M26" s="27">
        <f t="shared" si="10"/>
        <v>105.26315789473684</v>
      </c>
      <c r="N26" s="34">
        <f t="shared" si="10"/>
        <v>115.99999999999999</v>
      </c>
      <c r="O26" s="34">
        <f t="shared" si="10"/>
        <v>103.84615384615385</v>
      </c>
      <c r="P26" s="34">
        <f t="shared" si="10"/>
        <v>114.99999999999999</v>
      </c>
      <c r="Q26" s="34">
        <f>Q23/N23*100</f>
        <v>117.24137931034484</v>
      </c>
    </row>
    <row r="27" spans="1:17" ht="15">
      <c r="A27" s="55"/>
      <c r="B27" s="56"/>
      <c r="C27" s="18" t="s">
        <v>19</v>
      </c>
      <c r="D27" s="18">
        <v>124.9</v>
      </c>
      <c r="E27" s="18">
        <v>98.1</v>
      </c>
      <c r="F27" s="27">
        <f t="shared" si="9"/>
        <v>105.99571734475374</v>
      </c>
      <c r="G27" s="27">
        <f>G24/F24*100</f>
        <v>76.16161616161617</v>
      </c>
      <c r="H27" s="27">
        <f>H24/F24*100</f>
        <v>59.79797979797979</v>
      </c>
      <c r="I27" s="27">
        <f t="shared" si="9"/>
        <v>32.432432432432435</v>
      </c>
      <c r="J27" s="27">
        <f>J24/H24*100</f>
        <v>38.851351351351354</v>
      </c>
      <c r="K27" s="27">
        <f t="shared" si="10"/>
        <v>30.405405405405407</v>
      </c>
      <c r="L27" s="27">
        <f t="shared" si="10"/>
        <v>93.75</v>
      </c>
      <c r="M27" s="27">
        <f t="shared" si="10"/>
        <v>84.34782608695653</v>
      </c>
      <c r="N27" s="34">
        <f t="shared" si="10"/>
        <v>95.55555555555554</v>
      </c>
      <c r="O27" s="34">
        <f t="shared" si="10"/>
        <v>96.66666666666667</v>
      </c>
      <c r="P27" s="34">
        <f t="shared" si="10"/>
        <v>85.56701030927836</v>
      </c>
      <c r="Q27" s="34">
        <f t="shared" si="10"/>
        <v>93.0232558139535</v>
      </c>
    </row>
    <row r="28" spans="1:17" ht="15">
      <c r="A28" s="55">
        <v>10</v>
      </c>
      <c r="B28" s="56" t="s">
        <v>20</v>
      </c>
      <c r="C28" s="18" t="s">
        <v>12</v>
      </c>
      <c r="D28" s="18">
        <v>-0.042</v>
      </c>
      <c r="E28" s="18">
        <v>-0.037</v>
      </c>
      <c r="F28" s="41">
        <f>F23-F24</f>
        <v>-0.16199999999999998</v>
      </c>
      <c r="G28" s="41">
        <f>G23-G24</f>
        <v>-0.019000000000000017</v>
      </c>
      <c r="H28" s="41">
        <f>H23-H24</f>
        <v>-0.11199999999999999</v>
      </c>
      <c r="I28" s="41">
        <f aca="true" t="shared" si="11" ref="I28:Q28">I23-I24</f>
        <v>0.10400000000000001</v>
      </c>
      <c r="J28" s="41">
        <f t="shared" si="11"/>
        <v>0.075</v>
      </c>
      <c r="K28" s="41">
        <f t="shared" si="11"/>
        <v>0.16</v>
      </c>
      <c r="L28" s="41">
        <f t="shared" si="11"/>
        <v>0.17</v>
      </c>
      <c r="M28" s="41">
        <f t="shared" si="11"/>
        <v>0.10300000000000001</v>
      </c>
      <c r="N28" s="41">
        <f t="shared" si="11"/>
        <v>0.204</v>
      </c>
      <c r="O28" s="41">
        <f t="shared" si="11"/>
        <v>0.18300000000000002</v>
      </c>
      <c r="P28" s="41">
        <f t="shared" si="11"/>
        <v>0.14700000000000002</v>
      </c>
      <c r="Q28" s="41">
        <f t="shared" si="11"/>
        <v>0.26</v>
      </c>
    </row>
    <row r="29" spans="1:17" ht="30">
      <c r="A29" s="55"/>
      <c r="B29" s="56"/>
      <c r="C29" s="18" t="s">
        <v>6</v>
      </c>
      <c r="D29" s="24">
        <v>38.8</v>
      </c>
      <c r="E29" s="24">
        <v>88.1</v>
      </c>
      <c r="F29" s="34">
        <f>F28/E28*100</f>
        <v>437.8378378378378</v>
      </c>
      <c r="G29" s="34">
        <f>G28/F28*100</f>
        <v>11.728395061728406</v>
      </c>
      <c r="H29" s="34">
        <f>H28/F28*100</f>
        <v>69.13580246913581</v>
      </c>
      <c r="I29" s="34">
        <f>I28/H28*100</f>
        <v>-92.85714285714288</v>
      </c>
      <c r="J29" s="34">
        <f>J28/H28*100</f>
        <v>-66.96428571428572</v>
      </c>
      <c r="K29" s="34">
        <f aca="true" t="shared" si="12" ref="K29:Q29">K28/H28*100</f>
        <v>-142.8571428571429</v>
      </c>
      <c r="L29" s="34">
        <f t="shared" si="12"/>
        <v>163.46153846153845</v>
      </c>
      <c r="M29" s="34">
        <f t="shared" si="12"/>
        <v>137.33333333333334</v>
      </c>
      <c r="N29" s="34">
        <f t="shared" si="12"/>
        <v>127.49999999999999</v>
      </c>
      <c r="O29" s="34">
        <f t="shared" si="12"/>
        <v>107.64705882352943</v>
      </c>
      <c r="P29" s="34">
        <f t="shared" si="12"/>
        <v>142.71844660194176</v>
      </c>
      <c r="Q29" s="34">
        <f t="shared" si="12"/>
        <v>127.45098039215688</v>
      </c>
    </row>
    <row r="30" spans="1:17" ht="30">
      <c r="A30" s="2">
        <v>11</v>
      </c>
      <c r="B30" s="1" t="s">
        <v>52</v>
      </c>
      <c r="C30" s="18" t="s">
        <v>75</v>
      </c>
      <c r="D30" s="24">
        <v>-3.4</v>
      </c>
      <c r="E30" s="24">
        <v>-3</v>
      </c>
      <c r="F30" s="34">
        <f>F28/F10*1000</f>
        <v>-13.262382316823576</v>
      </c>
      <c r="G30" s="34">
        <f>G28/G10*1000</f>
        <v>-1.569599339116069</v>
      </c>
      <c r="H30" s="34">
        <f>H28/H10*1000</f>
        <v>-9.256198347107437</v>
      </c>
      <c r="I30" s="34">
        <f aca="true" t="shared" si="13" ref="I30:Q30">I28/I10*1000</f>
        <v>8.589362405021474</v>
      </c>
      <c r="J30" s="34">
        <f t="shared" si="13"/>
        <v>6.193228736581338</v>
      </c>
      <c r="K30" s="34">
        <f t="shared" si="13"/>
        <v>13.205678441729944</v>
      </c>
      <c r="L30" s="34">
        <f t="shared" si="13"/>
        <v>14.036826025926842</v>
      </c>
      <c r="M30" s="34">
        <f t="shared" si="13"/>
        <v>8.502559022618458</v>
      </c>
      <c r="N30" s="34">
        <f t="shared" si="13"/>
        <v>16.83446113220003</v>
      </c>
      <c r="O30" s="34">
        <f t="shared" si="13"/>
        <v>15.099009900990103</v>
      </c>
      <c r="P30" s="34">
        <f t="shared" si="13"/>
        <v>12.108731466227349</v>
      </c>
      <c r="Q30" s="34">
        <f t="shared" si="13"/>
        <v>21.39917695473251</v>
      </c>
    </row>
    <row r="31" spans="1:18" ht="30" customHeight="1">
      <c r="A31" s="77" t="s">
        <v>53</v>
      </c>
      <c r="B31" s="78"/>
      <c r="C31" s="18"/>
      <c r="D31" s="24"/>
      <c r="E31" s="24"/>
      <c r="F31" s="39"/>
      <c r="G31" s="24"/>
      <c r="H31" s="24"/>
      <c r="I31" s="39"/>
      <c r="J31" s="39"/>
      <c r="K31" s="39"/>
      <c r="L31" s="39"/>
      <c r="M31" s="39"/>
      <c r="N31" s="39"/>
      <c r="O31" s="39"/>
      <c r="P31" s="39"/>
      <c r="Q31" s="39"/>
      <c r="R31" s="16"/>
    </row>
    <row r="32" spans="1:17" ht="15">
      <c r="A32" s="2">
        <v>12</v>
      </c>
      <c r="B32" s="1" t="s">
        <v>54</v>
      </c>
      <c r="C32" s="18" t="s">
        <v>55</v>
      </c>
      <c r="D32" s="24">
        <v>1504140.8</v>
      </c>
      <c r="E32" s="24">
        <v>1622303</v>
      </c>
      <c r="F32" s="24">
        <v>1644779.9</v>
      </c>
      <c r="G32" s="24">
        <v>1704835</v>
      </c>
      <c r="H32" s="24">
        <v>1859374</v>
      </c>
      <c r="I32" s="24">
        <v>1933749</v>
      </c>
      <c r="J32" s="24">
        <v>1978380.3</v>
      </c>
      <c r="K32" s="24">
        <v>2017948</v>
      </c>
      <c r="L32" s="24">
        <v>2011099</v>
      </c>
      <c r="M32" s="24">
        <v>2061673</v>
      </c>
      <c r="N32" s="24">
        <v>2123523.1</v>
      </c>
      <c r="O32" s="24">
        <v>2091543</v>
      </c>
      <c r="P32" s="24">
        <v>2158512.1</v>
      </c>
      <c r="Q32" s="24">
        <v>2223267.4</v>
      </c>
    </row>
    <row r="33" spans="1:17" ht="30">
      <c r="A33" s="2">
        <v>13</v>
      </c>
      <c r="B33" s="1" t="s">
        <v>57</v>
      </c>
      <c r="C33" s="18" t="s">
        <v>45</v>
      </c>
      <c r="D33" s="48">
        <v>0.922</v>
      </c>
      <c r="E33" s="49">
        <f>E32/D32/117.1*100</f>
        <v>0.9210571632732879</v>
      </c>
      <c r="F33" s="49">
        <f>F32/E32/107.1*100</f>
        <v>0.946643261800099</v>
      </c>
      <c r="G33" s="49">
        <f>G32/F32/103.6*100</f>
        <v>1.0004947344891735</v>
      </c>
      <c r="H33" s="43">
        <f>H32/G32/103.1*100</f>
        <v>1.0578540077734127</v>
      </c>
      <c r="I33" s="42">
        <f>I32/H32/104*100</f>
        <v>1.0000000206852082</v>
      </c>
      <c r="J33" s="43">
        <f>J32/H32/104*100</f>
        <v>1.0230802140935606</v>
      </c>
      <c r="K33" s="43">
        <f aca="true" t="shared" si="14" ref="K33:P33">K32/H32/104*100</f>
        <v>1.043541866985671</v>
      </c>
      <c r="L33" s="43">
        <f t="shared" si="14"/>
        <v>1.000000019889623</v>
      </c>
      <c r="M33" s="43">
        <f t="shared" si="14"/>
        <v>1.0020206350697005</v>
      </c>
      <c r="N33" s="43">
        <f t="shared" si="14"/>
        <v>1.0118442767679765</v>
      </c>
      <c r="O33" s="43">
        <f t="shared" si="14"/>
        <v>1.000000019124637</v>
      </c>
      <c r="P33" s="43">
        <f t="shared" si="14"/>
        <v>1.0067030047180876</v>
      </c>
      <c r="Q33" s="43">
        <f>Q32/N32/103.9*100</f>
        <v>1.007671934179287</v>
      </c>
    </row>
    <row r="34" spans="1:18" ht="30">
      <c r="A34" s="2">
        <v>14</v>
      </c>
      <c r="B34" s="1" t="s">
        <v>58</v>
      </c>
      <c r="C34" s="18" t="s">
        <v>21</v>
      </c>
      <c r="D34" s="34">
        <f>D32/D10/12</f>
        <v>10135.446483922266</v>
      </c>
      <c r="E34" s="34">
        <f>E32/E10/12</f>
        <v>10970.698423003056</v>
      </c>
      <c r="F34" s="34">
        <f>F32/F10/12</f>
        <v>11221.03902305908</v>
      </c>
      <c r="G34" s="34">
        <f>G32/G10/12</f>
        <v>11736.438110973426</v>
      </c>
      <c r="H34" s="34">
        <f>H32/H10/12</f>
        <v>12805.606060606062</v>
      </c>
      <c r="I34" s="34">
        <f aca="true" t="shared" si="15" ref="I34:Q34">I32/I10/12</f>
        <v>13309.031219028742</v>
      </c>
      <c r="J34" s="34">
        <f t="shared" si="15"/>
        <v>13613.957473162676</v>
      </c>
      <c r="K34" s="34">
        <f t="shared" si="15"/>
        <v>13879.36062506878</v>
      </c>
      <c r="L34" s="34">
        <f t="shared" si="15"/>
        <v>13837.964109762475</v>
      </c>
      <c r="M34" s="34">
        <f t="shared" si="15"/>
        <v>14182.440427054096</v>
      </c>
      <c r="N34" s="34">
        <f>N32/N10/12</f>
        <v>14603.091131649888</v>
      </c>
      <c r="O34" s="34">
        <f>O32/O10/12</f>
        <v>14380.796204620463</v>
      </c>
      <c r="P34" s="34">
        <f t="shared" si="15"/>
        <v>14816.804640307522</v>
      </c>
      <c r="Q34" s="34">
        <f t="shared" si="15"/>
        <v>15248.747599451302</v>
      </c>
      <c r="R34" s="38"/>
    </row>
    <row r="35" spans="1:17" ht="15">
      <c r="A35" s="55">
        <v>15</v>
      </c>
      <c r="B35" s="56" t="s">
        <v>100</v>
      </c>
      <c r="C35" s="18" t="s">
        <v>55</v>
      </c>
      <c r="D35" s="24">
        <v>1066711</v>
      </c>
      <c r="E35" s="24">
        <v>971395</v>
      </c>
      <c r="F35" s="24">
        <v>1071862.9</v>
      </c>
      <c r="G35" s="24">
        <v>1075934.9</v>
      </c>
      <c r="H35" s="24">
        <v>1209756</v>
      </c>
      <c r="I35" s="24">
        <f>H35*I36%</f>
        <v>1209756</v>
      </c>
      <c r="J35" s="24">
        <v>1234959.3</v>
      </c>
      <c r="K35" s="24">
        <f>H35*K36%</f>
        <v>1282341.36</v>
      </c>
      <c r="L35" s="24">
        <f>I35*L36%</f>
        <v>1221853.56</v>
      </c>
      <c r="M35" s="24">
        <v>1277235.7</v>
      </c>
      <c r="N35" s="24">
        <f>K35*N36%</f>
        <v>1359281.8416000002</v>
      </c>
      <c r="O35" s="24">
        <f>L35*O36%</f>
        <v>1234072.0956000001</v>
      </c>
      <c r="P35" s="34">
        <f>M35*P36%</f>
        <v>1328325.128</v>
      </c>
      <c r="Q35" s="24">
        <f>N35*Q36%</f>
        <v>1440838.7520960001</v>
      </c>
    </row>
    <row r="36" spans="1:17" ht="30">
      <c r="A36" s="55"/>
      <c r="B36" s="56"/>
      <c r="C36" s="18" t="s">
        <v>6</v>
      </c>
      <c r="D36" s="24">
        <v>115.1</v>
      </c>
      <c r="E36" s="24">
        <v>91.1</v>
      </c>
      <c r="F36" s="34">
        <f>F35/E35*100</f>
        <v>110.3426412530433</v>
      </c>
      <c r="G36" s="34">
        <f>G35/F35*100</f>
        <v>100.37989933227468</v>
      </c>
      <c r="H36" s="34">
        <f>H35/G35*100</f>
        <v>112.4376577058705</v>
      </c>
      <c r="I36" s="34">
        <v>100</v>
      </c>
      <c r="J36" s="34">
        <f>J35/H35*100</f>
        <v>102.08333746639819</v>
      </c>
      <c r="K36" s="34">
        <v>106</v>
      </c>
      <c r="L36" s="34">
        <v>101</v>
      </c>
      <c r="M36" s="34">
        <f>M35/J35*100</f>
        <v>103.42330309994831</v>
      </c>
      <c r="N36" s="34">
        <v>106</v>
      </c>
      <c r="O36" s="34">
        <v>101</v>
      </c>
      <c r="P36" s="34">
        <v>104</v>
      </c>
      <c r="Q36" s="34">
        <v>106</v>
      </c>
    </row>
    <row r="37" spans="1:17" ht="15">
      <c r="A37" s="2">
        <v>16</v>
      </c>
      <c r="B37" s="1" t="s">
        <v>59</v>
      </c>
      <c r="C37" s="18" t="s">
        <v>55</v>
      </c>
      <c r="D37" s="24">
        <v>1248627.1</v>
      </c>
      <c r="E37" s="24">
        <v>1347721</v>
      </c>
      <c r="F37" s="24">
        <v>1386257.3</v>
      </c>
      <c r="G37" s="24">
        <v>1396576</v>
      </c>
      <c r="H37" s="24">
        <v>1314604</v>
      </c>
      <c r="I37" s="24">
        <v>1406363</v>
      </c>
      <c r="J37" s="24">
        <v>1314604</v>
      </c>
      <c r="K37" s="24">
        <v>1441566</v>
      </c>
      <c r="L37" s="24">
        <v>1430315</v>
      </c>
      <c r="M37" s="24">
        <v>1437830.9</v>
      </c>
      <c r="N37" s="24">
        <v>1481696</v>
      </c>
      <c r="O37" s="24">
        <v>1449636</v>
      </c>
      <c r="P37" s="24">
        <v>1468066</v>
      </c>
      <c r="Q37" s="24">
        <v>1502805</v>
      </c>
    </row>
    <row r="38" spans="1:17" ht="30">
      <c r="A38" s="2">
        <v>17</v>
      </c>
      <c r="B38" s="1" t="s">
        <v>60</v>
      </c>
      <c r="C38" s="18" t="s">
        <v>55</v>
      </c>
      <c r="D38" s="24">
        <f aca="true" t="shared" si="16" ref="D38:K38">D32-D37</f>
        <v>255513.69999999995</v>
      </c>
      <c r="E38" s="24">
        <f t="shared" si="16"/>
        <v>274582</v>
      </c>
      <c r="F38" s="24">
        <f t="shared" si="16"/>
        <v>258522.59999999986</v>
      </c>
      <c r="G38" s="24">
        <f t="shared" si="16"/>
        <v>308259</v>
      </c>
      <c r="H38" s="24">
        <f t="shared" si="16"/>
        <v>544770</v>
      </c>
      <c r="I38" s="24">
        <f t="shared" si="16"/>
        <v>527386</v>
      </c>
      <c r="J38" s="24">
        <f t="shared" si="16"/>
        <v>663776.3</v>
      </c>
      <c r="K38" s="24">
        <f t="shared" si="16"/>
        <v>576382</v>
      </c>
      <c r="L38" s="24">
        <f aca="true" t="shared" si="17" ref="L38:Q38">L32-L37</f>
        <v>580784</v>
      </c>
      <c r="M38" s="24">
        <f t="shared" si="17"/>
        <v>623842.1000000001</v>
      </c>
      <c r="N38" s="24">
        <f t="shared" si="17"/>
        <v>641827.1000000001</v>
      </c>
      <c r="O38" s="24">
        <f t="shared" si="17"/>
        <v>641907</v>
      </c>
      <c r="P38" s="24">
        <f t="shared" si="17"/>
        <v>690446.1000000001</v>
      </c>
      <c r="Q38" s="24">
        <f t="shared" si="17"/>
        <v>720462.3999999999</v>
      </c>
    </row>
    <row r="39" spans="1:17" ht="30">
      <c r="A39" s="2">
        <v>18</v>
      </c>
      <c r="B39" s="1" t="s">
        <v>61</v>
      </c>
      <c r="C39" s="18" t="s">
        <v>13</v>
      </c>
      <c r="D39" s="24">
        <v>8324</v>
      </c>
      <c r="E39" s="24">
        <v>10230</v>
      </c>
      <c r="F39" s="24">
        <v>10492</v>
      </c>
      <c r="G39" s="24">
        <v>10954</v>
      </c>
      <c r="H39" s="24">
        <v>10954</v>
      </c>
      <c r="I39" s="39">
        <v>11940</v>
      </c>
      <c r="J39" s="24">
        <v>11973</v>
      </c>
      <c r="K39" s="39">
        <v>11984</v>
      </c>
      <c r="L39" s="39">
        <v>12418</v>
      </c>
      <c r="M39" s="39">
        <v>12452</v>
      </c>
      <c r="N39" s="39">
        <v>12499</v>
      </c>
      <c r="O39" s="39">
        <v>12915</v>
      </c>
      <c r="P39" s="39">
        <v>12950</v>
      </c>
      <c r="Q39" s="39">
        <v>12999</v>
      </c>
    </row>
    <row r="40" spans="1:17" ht="45">
      <c r="A40" s="2">
        <v>19</v>
      </c>
      <c r="B40" s="1" t="s">
        <v>98</v>
      </c>
      <c r="C40" s="18" t="s">
        <v>62</v>
      </c>
      <c r="D40" s="24">
        <v>30.8</v>
      </c>
      <c r="E40" s="24">
        <v>20.4</v>
      </c>
      <c r="F40" s="24">
        <v>21.3</v>
      </c>
      <c r="G40" s="24">
        <v>21.1</v>
      </c>
      <c r="H40" s="24">
        <v>17.2</v>
      </c>
      <c r="I40" s="24">
        <v>16.2</v>
      </c>
      <c r="J40" s="24">
        <v>16.5</v>
      </c>
      <c r="K40" s="24">
        <v>17</v>
      </c>
      <c r="L40" s="24">
        <v>16</v>
      </c>
      <c r="M40" s="24">
        <v>16.2</v>
      </c>
      <c r="N40" s="24">
        <v>16.9</v>
      </c>
      <c r="O40" s="24">
        <v>14.5</v>
      </c>
      <c r="P40" s="24">
        <v>15</v>
      </c>
      <c r="Q40" s="24">
        <v>15.5</v>
      </c>
    </row>
    <row r="41" spans="1:17" ht="15">
      <c r="A41" s="55">
        <v>20</v>
      </c>
      <c r="B41" s="56" t="s">
        <v>26</v>
      </c>
      <c r="C41" s="18" t="s">
        <v>13</v>
      </c>
      <c r="D41" s="18">
        <v>34873.5</v>
      </c>
      <c r="E41" s="18">
        <v>38040.2</v>
      </c>
      <c r="F41" s="18">
        <v>43255.2</v>
      </c>
      <c r="G41" s="18">
        <f>ROUND(G35*1000/G44/12,1)</f>
        <v>42797.7</v>
      </c>
      <c r="H41" s="18">
        <f aca="true" t="shared" si="18" ref="H41:Q41">ROUND(H35*1000/H44/12,1)</f>
        <v>48029.1</v>
      </c>
      <c r="I41" s="18">
        <f t="shared" si="18"/>
        <v>47575.7</v>
      </c>
      <c r="J41" s="18">
        <f t="shared" si="18"/>
        <v>48866.7</v>
      </c>
      <c r="K41" s="18">
        <f t="shared" si="18"/>
        <v>48573.5</v>
      </c>
      <c r="L41" s="18">
        <f t="shared" si="18"/>
        <v>48028.8</v>
      </c>
      <c r="M41" s="18">
        <f t="shared" si="18"/>
        <v>50372.1</v>
      </c>
      <c r="N41" s="18">
        <f t="shared" si="18"/>
        <v>50795.3</v>
      </c>
      <c r="O41" s="18">
        <f t="shared" si="18"/>
        <v>48055.8</v>
      </c>
      <c r="P41" s="18">
        <f t="shared" si="18"/>
        <v>51968.9</v>
      </c>
      <c r="Q41" s="18">
        <f t="shared" si="18"/>
        <v>53602.6</v>
      </c>
    </row>
    <row r="42" spans="1:17" ht="30">
      <c r="A42" s="55"/>
      <c r="B42" s="56"/>
      <c r="C42" s="18" t="s">
        <v>6</v>
      </c>
      <c r="D42" s="18">
        <v>114.9</v>
      </c>
      <c r="E42" s="18">
        <v>109.1</v>
      </c>
      <c r="F42" s="27">
        <f>F41/E41*100</f>
        <v>113.7091813397406</v>
      </c>
      <c r="G42" s="27">
        <f>G41/F41*100</f>
        <v>98.94232369749764</v>
      </c>
      <c r="H42" s="27">
        <f>H41/G41*100</f>
        <v>112.2235540694944</v>
      </c>
      <c r="I42" s="27">
        <f>I41/H41*100</f>
        <v>99.05598897335157</v>
      </c>
      <c r="J42" s="27">
        <f>J41/H41*100</f>
        <v>101.74394273471708</v>
      </c>
      <c r="K42" s="27">
        <f aca="true" t="shared" si="19" ref="K42:Q42">K41/H41*100</f>
        <v>101.133479494723</v>
      </c>
      <c r="L42" s="27">
        <f t="shared" si="19"/>
        <v>100.95237694873644</v>
      </c>
      <c r="M42" s="27">
        <f t="shared" si="19"/>
        <v>103.08062545659928</v>
      </c>
      <c r="N42" s="27">
        <f t="shared" si="19"/>
        <v>104.574099045776</v>
      </c>
      <c r="O42" s="27">
        <f t="shared" si="19"/>
        <v>100.05621627023787</v>
      </c>
      <c r="P42" s="27">
        <f t="shared" si="19"/>
        <v>103.17000879455097</v>
      </c>
      <c r="Q42" s="27">
        <f t="shared" si="19"/>
        <v>105.52669243020515</v>
      </c>
    </row>
    <row r="43" spans="1:17" ht="28.5" customHeight="1">
      <c r="A43" s="59" t="s">
        <v>63</v>
      </c>
      <c r="B43" s="60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1:17" ht="15">
      <c r="A44" s="55">
        <v>21</v>
      </c>
      <c r="B44" s="56" t="s">
        <v>99</v>
      </c>
      <c r="C44" s="18" t="s">
        <v>41</v>
      </c>
      <c r="D44" s="18">
        <v>2549</v>
      </c>
      <c r="E44" s="18">
        <v>2128</v>
      </c>
      <c r="F44" s="18">
        <v>2065</v>
      </c>
      <c r="G44" s="18">
        <v>2095</v>
      </c>
      <c r="H44" s="18">
        <v>2099</v>
      </c>
      <c r="I44" s="18">
        <v>2119</v>
      </c>
      <c r="J44" s="18">
        <v>2106</v>
      </c>
      <c r="K44" s="18">
        <v>2200</v>
      </c>
      <c r="L44" s="18">
        <v>2120</v>
      </c>
      <c r="M44" s="18">
        <v>2113</v>
      </c>
      <c r="N44" s="18">
        <v>2230</v>
      </c>
      <c r="O44" s="18">
        <v>2140</v>
      </c>
      <c r="P44" s="18">
        <v>2130</v>
      </c>
      <c r="Q44" s="18">
        <v>2240</v>
      </c>
    </row>
    <row r="45" spans="1:17" ht="30">
      <c r="A45" s="55"/>
      <c r="B45" s="56"/>
      <c r="C45" s="18" t="s">
        <v>6</v>
      </c>
      <c r="D45" s="18">
        <v>100.2</v>
      </c>
      <c r="E45" s="18">
        <v>83.5</v>
      </c>
      <c r="F45" s="27">
        <f>F44/E44*100</f>
        <v>97.03947368421053</v>
      </c>
      <c r="G45" s="27">
        <f>G44/F44*100</f>
        <v>101.45278450363196</v>
      </c>
      <c r="H45" s="27">
        <f>H44/G44*100</f>
        <v>100.1909307875895</v>
      </c>
      <c r="I45" s="27">
        <f>I44/H44*100</f>
        <v>100.95283468318246</v>
      </c>
      <c r="J45" s="27">
        <f>J44/H44*100</f>
        <v>100.33349213911387</v>
      </c>
      <c r="K45" s="27">
        <f aca="true" t="shared" si="20" ref="K45:Q45">K44/H44*100</f>
        <v>104.81181515007145</v>
      </c>
      <c r="L45" s="27">
        <f t="shared" si="20"/>
        <v>100.04719207173194</v>
      </c>
      <c r="M45" s="27">
        <f t="shared" si="20"/>
        <v>100.33238366571699</v>
      </c>
      <c r="N45" s="27">
        <f t="shared" si="20"/>
        <v>101.36363636363637</v>
      </c>
      <c r="O45" s="27">
        <f t="shared" si="20"/>
        <v>100.9433962264151</v>
      </c>
      <c r="P45" s="27">
        <f t="shared" si="20"/>
        <v>100.80454330336015</v>
      </c>
      <c r="Q45" s="27">
        <f t="shared" si="20"/>
        <v>100.44843049327355</v>
      </c>
    </row>
    <row r="46" spans="1:17" ht="30" customHeight="1">
      <c r="A46" s="61">
        <v>22</v>
      </c>
      <c r="B46" s="63" t="s">
        <v>103</v>
      </c>
      <c r="C46" s="18" t="s">
        <v>41</v>
      </c>
      <c r="D46" s="18">
        <v>583</v>
      </c>
      <c r="E46" s="18">
        <v>580</v>
      </c>
      <c r="F46" s="18">
        <v>592</v>
      </c>
      <c r="G46" s="18">
        <v>595</v>
      </c>
      <c r="H46" s="18">
        <v>615</v>
      </c>
      <c r="I46" s="18">
        <v>614</v>
      </c>
      <c r="J46" s="18">
        <v>620</v>
      </c>
      <c r="K46" s="18">
        <v>625</v>
      </c>
      <c r="L46" s="18">
        <v>620</v>
      </c>
      <c r="M46" s="18">
        <v>628</v>
      </c>
      <c r="N46" s="18">
        <v>633</v>
      </c>
      <c r="O46" s="18">
        <v>630</v>
      </c>
      <c r="P46" s="18">
        <v>639</v>
      </c>
      <c r="Q46" s="18">
        <v>649</v>
      </c>
    </row>
    <row r="47" spans="1:17" ht="30" customHeight="1">
      <c r="A47" s="62"/>
      <c r="B47" s="64"/>
      <c r="C47" s="18" t="s">
        <v>6</v>
      </c>
      <c r="D47" s="18">
        <v>101</v>
      </c>
      <c r="E47" s="18">
        <v>99.4</v>
      </c>
      <c r="F47" s="18">
        <v>102.1</v>
      </c>
      <c r="G47" s="27">
        <f>G46/F46*100</f>
        <v>100.50675675675676</v>
      </c>
      <c r="H47" s="27">
        <f>H46/G46*100</f>
        <v>103.36134453781514</v>
      </c>
      <c r="I47" s="27">
        <f>I46/H46*100</f>
        <v>99.83739837398375</v>
      </c>
      <c r="J47" s="27">
        <f>J46/I46*100</f>
        <v>100.9771986970684</v>
      </c>
      <c r="K47" s="27">
        <f aca="true" t="shared" si="21" ref="K47:Q47">K46/H46*100</f>
        <v>101.62601626016261</v>
      </c>
      <c r="L47" s="27">
        <f t="shared" si="21"/>
        <v>100.9771986970684</v>
      </c>
      <c r="M47" s="27">
        <f t="shared" si="21"/>
        <v>101.29032258064517</v>
      </c>
      <c r="N47" s="27">
        <f t="shared" si="21"/>
        <v>101.27999999999999</v>
      </c>
      <c r="O47" s="27">
        <f t="shared" si="21"/>
        <v>101.61290322580645</v>
      </c>
      <c r="P47" s="27">
        <f t="shared" si="21"/>
        <v>101.7515923566879</v>
      </c>
      <c r="Q47" s="27">
        <f t="shared" si="21"/>
        <v>102.52764612954186</v>
      </c>
    </row>
    <row r="48" spans="1:17" ht="36" customHeight="1">
      <c r="A48" s="2">
        <v>23</v>
      </c>
      <c r="B48" s="1" t="s">
        <v>101</v>
      </c>
      <c r="C48" s="18" t="s">
        <v>41</v>
      </c>
      <c r="D48" s="18">
        <v>960</v>
      </c>
      <c r="E48" s="18">
        <v>849</v>
      </c>
      <c r="F48" s="18">
        <v>915</v>
      </c>
      <c r="G48" s="18">
        <v>933</v>
      </c>
      <c r="H48" s="18">
        <v>950</v>
      </c>
      <c r="I48" s="18">
        <v>955</v>
      </c>
      <c r="J48" s="18">
        <v>955</v>
      </c>
      <c r="K48" s="18">
        <v>955</v>
      </c>
      <c r="L48" s="18">
        <v>960</v>
      </c>
      <c r="M48" s="18">
        <v>960</v>
      </c>
      <c r="N48" s="18">
        <v>960</v>
      </c>
      <c r="O48" s="18">
        <v>960</v>
      </c>
      <c r="P48" s="18">
        <v>960</v>
      </c>
      <c r="Q48" s="18">
        <v>960</v>
      </c>
    </row>
    <row r="49" spans="1:17" ht="30">
      <c r="A49" s="19">
        <v>24</v>
      </c>
      <c r="B49" s="8" t="s">
        <v>42</v>
      </c>
      <c r="C49" s="18" t="s">
        <v>41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</row>
    <row r="50" spans="1:18" ht="29.25" customHeight="1">
      <c r="A50" s="59" t="s">
        <v>76</v>
      </c>
      <c r="B50" s="60"/>
      <c r="C50" s="18"/>
      <c r="D50" s="24"/>
      <c r="E50" s="24"/>
      <c r="F50" s="24"/>
      <c r="G50" s="24"/>
      <c r="H50" s="24"/>
      <c r="I50" s="39"/>
      <c r="J50" s="24"/>
      <c r="K50" s="39"/>
      <c r="L50" s="39"/>
      <c r="M50" s="39"/>
      <c r="N50" s="39"/>
      <c r="O50" s="39"/>
      <c r="P50" s="39"/>
      <c r="Q50" s="39"/>
      <c r="R50" s="16"/>
    </row>
    <row r="51" spans="1:17" ht="30">
      <c r="A51" s="2">
        <v>25</v>
      </c>
      <c r="B51" s="1" t="s">
        <v>65</v>
      </c>
      <c r="C51" s="18" t="s">
        <v>64</v>
      </c>
      <c r="D51" s="24">
        <v>4265</v>
      </c>
      <c r="E51" s="24">
        <v>4228</v>
      </c>
      <c r="F51" s="24">
        <v>4103</v>
      </c>
      <c r="G51" s="24">
        <v>4099</v>
      </c>
      <c r="H51" s="24">
        <v>4219</v>
      </c>
      <c r="I51" s="39">
        <v>4200</v>
      </c>
      <c r="J51" s="24">
        <v>4296</v>
      </c>
      <c r="K51" s="39">
        <v>4320</v>
      </c>
      <c r="L51" s="39">
        <v>4250</v>
      </c>
      <c r="M51" s="39">
        <v>4300</v>
      </c>
      <c r="N51" s="39">
        <v>4350</v>
      </c>
      <c r="O51" s="39">
        <v>4290</v>
      </c>
      <c r="P51" s="39">
        <v>4315</v>
      </c>
      <c r="Q51" s="39">
        <v>4359</v>
      </c>
    </row>
    <row r="52" spans="1:17" ht="30">
      <c r="A52" s="2">
        <v>26</v>
      </c>
      <c r="B52" s="1" t="s">
        <v>66</v>
      </c>
      <c r="C52" s="18" t="s">
        <v>7</v>
      </c>
      <c r="D52" s="43">
        <f>D51/D56</f>
        <v>0.3989710009354537</v>
      </c>
      <c r="E52" s="43">
        <f aca="true" t="shared" si="22" ref="E52:Q52">E51/E56</f>
        <v>0.3972564126656018</v>
      </c>
      <c r="F52" s="43">
        <f t="shared" si="22"/>
        <v>0.3870754716981132</v>
      </c>
      <c r="G52" s="43">
        <f>G51/G56</f>
        <v>0.3879057442982871</v>
      </c>
      <c r="H52" s="43">
        <f>H51/H56</f>
        <v>0.40489443378119</v>
      </c>
      <c r="I52" s="43">
        <f t="shared" si="22"/>
        <v>0.3967129498441485</v>
      </c>
      <c r="J52" s="43">
        <f t="shared" si="22"/>
        <v>0.4064333017975402</v>
      </c>
      <c r="K52" s="43">
        <f t="shared" si="22"/>
        <v>0.40793201133144474</v>
      </c>
      <c r="L52" s="43">
        <f t="shared" si="22"/>
        <v>0.4012083451335788</v>
      </c>
      <c r="M52" s="43">
        <f t="shared" si="22"/>
        <v>0.40654249787274277</v>
      </c>
      <c r="N52" s="43">
        <f t="shared" si="22"/>
        <v>0.41037735849056606</v>
      </c>
      <c r="O52" s="43">
        <f t="shared" si="22"/>
        <v>0.40475516558165864</v>
      </c>
      <c r="P52" s="43">
        <f t="shared" si="22"/>
        <v>0.40745986779981114</v>
      </c>
      <c r="Q52" s="43">
        <f t="shared" si="22"/>
        <v>0.41045197740112993</v>
      </c>
    </row>
    <row r="53" spans="1:17" ht="15">
      <c r="A53" s="2">
        <v>27</v>
      </c>
      <c r="B53" s="1" t="s">
        <v>67</v>
      </c>
      <c r="C53" s="18" t="s">
        <v>68</v>
      </c>
      <c r="D53" s="24">
        <v>3606</v>
      </c>
      <c r="E53" s="24">
        <v>3147</v>
      </c>
      <c r="F53" s="24">
        <v>3720</v>
      </c>
      <c r="G53" s="24">
        <v>3050</v>
      </c>
      <c r="H53" s="24">
        <v>3020</v>
      </c>
      <c r="I53" s="24">
        <v>3015</v>
      </c>
      <c r="J53" s="24">
        <v>3019</v>
      </c>
      <c r="K53" s="24">
        <v>3000</v>
      </c>
      <c r="L53" s="24">
        <v>3000</v>
      </c>
      <c r="M53" s="24">
        <v>3010</v>
      </c>
      <c r="N53" s="24">
        <v>2850</v>
      </c>
      <c r="O53" s="24">
        <v>2990</v>
      </c>
      <c r="P53" s="24">
        <v>3005</v>
      </c>
      <c r="Q53" s="24">
        <v>2835</v>
      </c>
    </row>
    <row r="54" spans="1:17" ht="15">
      <c r="A54" s="2">
        <v>28</v>
      </c>
      <c r="B54" s="1" t="s">
        <v>69</v>
      </c>
      <c r="C54" s="18" t="s">
        <v>41</v>
      </c>
      <c r="D54" s="24">
        <v>7756</v>
      </c>
      <c r="E54" s="24">
        <v>7269</v>
      </c>
      <c r="F54" s="24">
        <v>7807</v>
      </c>
      <c r="G54" s="24">
        <v>7279</v>
      </c>
      <c r="H54" s="24">
        <v>7270</v>
      </c>
      <c r="I54" s="24">
        <v>7300</v>
      </c>
      <c r="J54" s="24">
        <v>7551</v>
      </c>
      <c r="K54" s="24">
        <v>7590</v>
      </c>
      <c r="L54" s="24">
        <v>7400</v>
      </c>
      <c r="M54" s="24">
        <v>7567</v>
      </c>
      <c r="N54" s="24">
        <v>7750</v>
      </c>
      <c r="O54" s="24">
        <v>7490</v>
      </c>
      <c r="P54" s="24">
        <v>7585</v>
      </c>
      <c r="Q54" s="24">
        <v>7785</v>
      </c>
    </row>
    <row r="55" spans="1:17" ht="45">
      <c r="A55" s="2">
        <v>29</v>
      </c>
      <c r="B55" s="1" t="s">
        <v>70</v>
      </c>
      <c r="C55" s="18" t="s">
        <v>7</v>
      </c>
      <c r="D55" s="24">
        <v>54.9</v>
      </c>
      <c r="E55" s="43">
        <f>E51/E54</f>
        <v>0.5816480946485073</v>
      </c>
      <c r="F55" s="43">
        <f>F51/F54</f>
        <v>0.5255539900089663</v>
      </c>
      <c r="G55" s="43">
        <f>G51/G54</f>
        <v>0.5631268031322983</v>
      </c>
      <c r="H55" s="43">
        <f>H51/H54</f>
        <v>0.5803301237964237</v>
      </c>
      <c r="I55" s="43">
        <f aca="true" t="shared" si="23" ref="I55:Q55">I51/I54</f>
        <v>0.5753424657534246</v>
      </c>
      <c r="J55" s="43">
        <f t="shared" si="23"/>
        <v>0.5689312673818038</v>
      </c>
      <c r="K55" s="43">
        <f t="shared" si="23"/>
        <v>0.5691699604743083</v>
      </c>
      <c r="L55" s="43">
        <f t="shared" si="23"/>
        <v>0.5743243243243243</v>
      </c>
      <c r="M55" s="43">
        <f t="shared" si="23"/>
        <v>0.5682569049821594</v>
      </c>
      <c r="N55" s="43">
        <f t="shared" si="23"/>
        <v>0.5612903225806452</v>
      </c>
      <c r="O55" s="43">
        <f t="shared" si="23"/>
        <v>0.5727636849132176</v>
      </c>
      <c r="P55" s="43">
        <f t="shared" si="23"/>
        <v>0.5688859591298616</v>
      </c>
      <c r="Q55" s="43">
        <f t="shared" si="23"/>
        <v>0.5599229287090559</v>
      </c>
    </row>
    <row r="56" spans="1:17" ht="30">
      <c r="A56" s="2">
        <v>30</v>
      </c>
      <c r="B56" s="1" t="s">
        <v>72</v>
      </c>
      <c r="C56" s="18" t="s">
        <v>41</v>
      </c>
      <c r="D56" s="24">
        <v>10690</v>
      </c>
      <c r="E56" s="24">
        <v>10643</v>
      </c>
      <c r="F56" s="24">
        <v>10600</v>
      </c>
      <c r="G56" s="24">
        <v>10567</v>
      </c>
      <c r="H56" s="24">
        <v>10420</v>
      </c>
      <c r="I56" s="24">
        <v>10587</v>
      </c>
      <c r="J56" s="24">
        <v>10570</v>
      </c>
      <c r="K56" s="24">
        <v>10590</v>
      </c>
      <c r="L56" s="24">
        <v>10593</v>
      </c>
      <c r="M56" s="24">
        <v>10577</v>
      </c>
      <c r="N56" s="24">
        <v>10600</v>
      </c>
      <c r="O56" s="24">
        <v>10599</v>
      </c>
      <c r="P56" s="24">
        <v>10590</v>
      </c>
      <c r="Q56" s="24">
        <v>10620</v>
      </c>
    </row>
    <row r="57" spans="1:17" ht="15">
      <c r="A57" s="2">
        <v>31</v>
      </c>
      <c r="B57" s="1" t="s">
        <v>77</v>
      </c>
      <c r="C57" s="18" t="s">
        <v>41</v>
      </c>
      <c r="D57" s="24">
        <v>2410</v>
      </c>
      <c r="E57" s="24">
        <v>1973</v>
      </c>
      <c r="F57" s="24">
        <v>2271</v>
      </c>
      <c r="G57" s="24">
        <v>2200</v>
      </c>
      <c r="H57" s="24">
        <v>2190</v>
      </c>
      <c r="I57" s="24">
        <v>2120</v>
      </c>
      <c r="J57" s="24">
        <v>2130</v>
      </c>
      <c r="K57" s="24">
        <v>2100</v>
      </c>
      <c r="L57" s="24">
        <v>2218</v>
      </c>
      <c r="M57" s="24">
        <v>2127</v>
      </c>
      <c r="N57" s="24">
        <v>2047</v>
      </c>
      <c r="O57" s="24">
        <v>2213</v>
      </c>
      <c r="P57" s="24">
        <v>2120</v>
      </c>
      <c r="Q57" s="24">
        <v>2030</v>
      </c>
    </row>
    <row r="58" spans="1:17" ht="30.75" customHeight="1">
      <c r="A58" s="2">
        <v>32</v>
      </c>
      <c r="B58" s="1" t="s">
        <v>71</v>
      </c>
      <c r="C58" s="18" t="s">
        <v>41</v>
      </c>
      <c r="D58" s="24">
        <v>309</v>
      </c>
      <c r="E58" s="24">
        <v>297</v>
      </c>
      <c r="F58" s="24">
        <v>100</v>
      </c>
      <c r="G58" s="24">
        <v>107</v>
      </c>
      <c r="H58" s="24">
        <v>75</v>
      </c>
      <c r="I58" s="24">
        <v>100</v>
      </c>
      <c r="J58" s="24">
        <v>90</v>
      </c>
      <c r="K58" s="24">
        <v>100</v>
      </c>
      <c r="L58" s="24">
        <v>97</v>
      </c>
      <c r="M58" s="24">
        <v>112</v>
      </c>
      <c r="N58" s="24">
        <v>95</v>
      </c>
      <c r="O58" s="24">
        <v>93</v>
      </c>
      <c r="P58" s="24">
        <v>110</v>
      </c>
      <c r="Q58" s="24">
        <v>90</v>
      </c>
    </row>
    <row r="59" spans="1:17" ht="30.75" customHeight="1">
      <c r="A59" s="7">
        <v>33</v>
      </c>
      <c r="B59" s="6" t="s">
        <v>74</v>
      </c>
      <c r="C59" s="37" t="s">
        <v>7</v>
      </c>
      <c r="D59" s="24">
        <v>22.5</v>
      </c>
      <c r="E59" s="24">
        <v>18.5</v>
      </c>
      <c r="F59" s="34">
        <f>F57/F56*100</f>
        <v>21.42452830188679</v>
      </c>
      <c r="G59" s="34">
        <f>G57/G56*100</f>
        <v>20.819532506860984</v>
      </c>
      <c r="H59" s="34">
        <f>H57/H56*100</f>
        <v>21.017274472168907</v>
      </c>
      <c r="I59" s="34">
        <f aca="true" t="shared" si="24" ref="I59:Q59">I57/I56*100</f>
        <v>20.02455842070464</v>
      </c>
      <c r="J59" s="34">
        <f t="shared" si="24"/>
        <v>20.151371807000945</v>
      </c>
      <c r="K59" s="34">
        <f t="shared" si="24"/>
        <v>19.8300283286119</v>
      </c>
      <c r="L59" s="34">
        <f t="shared" si="24"/>
        <v>20.938355517794772</v>
      </c>
      <c r="M59" s="34">
        <f t="shared" si="24"/>
        <v>20.109671929658692</v>
      </c>
      <c r="N59" s="34">
        <f t="shared" si="24"/>
        <v>19.31132075471698</v>
      </c>
      <c r="O59" s="34">
        <f t="shared" si="24"/>
        <v>20.879328238513068</v>
      </c>
      <c r="P59" s="34">
        <f t="shared" si="24"/>
        <v>20.018885741265343</v>
      </c>
      <c r="Q59" s="34">
        <f t="shared" si="24"/>
        <v>19.11487758945386</v>
      </c>
    </row>
    <row r="60" spans="1:17" ht="45.75" customHeight="1">
      <c r="A60" s="2">
        <v>34</v>
      </c>
      <c r="B60" s="1" t="s">
        <v>73</v>
      </c>
      <c r="C60" s="18" t="s">
        <v>7</v>
      </c>
      <c r="D60" s="24">
        <v>2.8</v>
      </c>
      <c r="E60" s="24">
        <v>2.7</v>
      </c>
      <c r="F60" s="34">
        <f>F58/F56*100</f>
        <v>0.9433962264150944</v>
      </c>
      <c r="G60" s="34">
        <f>G58/G56*100</f>
        <v>1.0125863537427842</v>
      </c>
      <c r="H60" s="34">
        <f>H58/H56*100</f>
        <v>0.7197696737044146</v>
      </c>
      <c r="I60" s="34">
        <f aca="true" t="shared" si="25" ref="I60:Q60">I58/I56*100</f>
        <v>0.9445546424860679</v>
      </c>
      <c r="J60" s="34">
        <f t="shared" si="25"/>
        <v>0.8514664143803218</v>
      </c>
      <c r="K60" s="34">
        <f t="shared" si="25"/>
        <v>0.9442870632672332</v>
      </c>
      <c r="L60" s="34">
        <f t="shared" si="25"/>
        <v>0.9156990465401681</v>
      </c>
      <c r="M60" s="34">
        <f t="shared" si="25"/>
        <v>1.0589013898080741</v>
      </c>
      <c r="N60" s="34">
        <f t="shared" si="25"/>
        <v>0.8962264150943396</v>
      </c>
      <c r="O60" s="34">
        <f t="shared" si="25"/>
        <v>0.8774412680441551</v>
      </c>
      <c r="P60" s="34">
        <f t="shared" si="25"/>
        <v>1.0387157695939566</v>
      </c>
      <c r="Q60" s="34">
        <f t="shared" si="25"/>
        <v>0.847457627118644</v>
      </c>
    </row>
    <row r="61" spans="1:17" ht="65.25" customHeight="1">
      <c r="A61" s="15">
        <v>35</v>
      </c>
      <c r="B61" s="14" t="s">
        <v>107</v>
      </c>
      <c r="C61" s="20" t="s">
        <v>7</v>
      </c>
      <c r="D61" s="24">
        <v>7.5</v>
      </c>
      <c r="E61" s="24">
        <v>8</v>
      </c>
      <c r="F61" s="34">
        <f>F46/F54*100</f>
        <v>7.5829383886255926</v>
      </c>
      <c r="G61" s="34">
        <f>G46/G54*100</f>
        <v>8.174199752713285</v>
      </c>
      <c r="H61" s="34">
        <f>H46/H54*100</f>
        <v>8.45942228335626</v>
      </c>
      <c r="I61" s="34">
        <f aca="true" t="shared" si="26" ref="I61:Q61">I46/I54*100</f>
        <v>8.410958904109588</v>
      </c>
      <c r="J61" s="34">
        <f t="shared" si="26"/>
        <v>8.210833002251357</v>
      </c>
      <c r="K61" s="34">
        <f t="shared" si="26"/>
        <v>8.234519104084322</v>
      </c>
      <c r="L61" s="34">
        <f t="shared" si="26"/>
        <v>8.378378378378379</v>
      </c>
      <c r="M61" s="34">
        <f t="shared" si="26"/>
        <v>8.299193868111537</v>
      </c>
      <c r="N61" s="34">
        <f t="shared" si="26"/>
        <v>8.167741935483871</v>
      </c>
      <c r="O61" s="34">
        <f t="shared" si="26"/>
        <v>8.411214953271028</v>
      </c>
      <c r="P61" s="34">
        <f t="shared" si="26"/>
        <v>8.424522083058667</v>
      </c>
      <c r="Q61" s="34">
        <f t="shared" si="26"/>
        <v>8.336544637122671</v>
      </c>
    </row>
    <row r="62" spans="1:17" ht="30.75" customHeight="1">
      <c r="A62" s="52" t="s">
        <v>109</v>
      </c>
      <c r="B62" s="53"/>
      <c r="C62" s="18"/>
      <c r="D62" s="24"/>
      <c r="E62" s="24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</row>
    <row r="63" spans="1:17" ht="18.75" customHeight="1">
      <c r="A63" s="55">
        <v>36</v>
      </c>
      <c r="B63" s="56" t="s">
        <v>22</v>
      </c>
      <c r="C63" s="18" t="s">
        <v>30</v>
      </c>
      <c r="D63" s="24">
        <v>47.3</v>
      </c>
      <c r="E63" s="24">
        <v>39.7</v>
      </c>
      <c r="F63" s="24">
        <v>52.1</v>
      </c>
      <c r="G63" s="24">
        <v>31.5</v>
      </c>
      <c r="H63" s="34">
        <f>G63*H64%*102.7%</f>
        <v>32.609304</v>
      </c>
      <c r="I63" s="24">
        <f>ROUND(H63*100.5%*103.9%,1)</f>
        <v>34.1</v>
      </c>
      <c r="J63" s="24">
        <f>ROUND(H63*J64%*103.8%,1)</f>
        <v>34.2</v>
      </c>
      <c r="K63" s="34">
        <f>H63*K64%*103.7%</f>
        <v>34.492165212959996</v>
      </c>
      <c r="L63" s="24">
        <f>ROUND(I63*L64%*103.9%,1)</f>
        <v>35.8</v>
      </c>
      <c r="M63" s="34">
        <f>ROUND(J63*M64%*103.8%,1)</f>
        <v>36</v>
      </c>
      <c r="N63" s="24">
        <f>ROUND(K63*N64%*103.7%,1)</f>
        <v>36.6</v>
      </c>
      <c r="O63" s="24">
        <f>ROUND(L63*O64%*103.9%,1)</f>
        <v>37.6</v>
      </c>
      <c r="P63" s="24">
        <f>ROUND(M63*P64%*103.8%,1)</f>
        <v>38.1</v>
      </c>
      <c r="Q63" s="24">
        <f>ROUND(N63*Q64%*103.7%,1)</f>
        <v>38.9</v>
      </c>
    </row>
    <row r="64" spans="1:17" ht="30.75" customHeight="1">
      <c r="A64" s="55"/>
      <c r="B64" s="56"/>
      <c r="C64" s="24" t="s">
        <v>24</v>
      </c>
      <c r="D64" s="24">
        <v>97.2</v>
      </c>
      <c r="E64" s="24">
        <v>70.7</v>
      </c>
      <c r="F64" s="24">
        <v>122.3</v>
      </c>
      <c r="G64" s="34">
        <v>58.2</v>
      </c>
      <c r="H64" s="34">
        <v>100.8</v>
      </c>
      <c r="I64" s="34">
        <v>100.5</v>
      </c>
      <c r="J64" s="34">
        <v>101</v>
      </c>
      <c r="K64" s="34">
        <v>102</v>
      </c>
      <c r="L64" s="34">
        <v>101</v>
      </c>
      <c r="M64" s="34">
        <v>101.5</v>
      </c>
      <c r="N64" s="34">
        <v>102.3</v>
      </c>
      <c r="O64" s="34">
        <v>101.1</v>
      </c>
      <c r="P64" s="34">
        <v>102</v>
      </c>
      <c r="Q64" s="34">
        <v>102.5</v>
      </c>
    </row>
    <row r="65" spans="1:17" ht="39" customHeight="1">
      <c r="A65" s="61">
        <v>37</v>
      </c>
      <c r="B65" s="63" t="s">
        <v>102</v>
      </c>
      <c r="C65" s="18" t="s">
        <v>40</v>
      </c>
      <c r="D65" s="24">
        <v>328200</v>
      </c>
      <c r="E65" s="24">
        <v>356900</v>
      </c>
      <c r="F65" s="24">
        <v>442242</v>
      </c>
      <c r="G65" s="24">
        <v>455509</v>
      </c>
      <c r="H65" s="24">
        <v>429539</v>
      </c>
      <c r="I65" s="24">
        <v>485458</v>
      </c>
      <c r="J65" s="24">
        <v>473729</v>
      </c>
      <c r="K65" s="24">
        <v>531692</v>
      </c>
      <c r="L65" s="24">
        <v>488110</v>
      </c>
      <c r="M65" s="24">
        <v>480900</v>
      </c>
      <c r="N65" s="24">
        <v>532755</v>
      </c>
      <c r="O65" s="24">
        <v>507640</v>
      </c>
      <c r="P65" s="24">
        <v>500140</v>
      </c>
      <c r="Q65" s="24">
        <v>534353</v>
      </c>
    </row>
    <row r="66" spans="1:17" ht="30.75" customHeight="1">
      <c r="A66" s="62"/>
      <c r="B66" s="64"/>
      <c r="C66" s="18" t="s">
        <v>6</v>
      </c>
      <c r="D66" s="24">
        <v>102.5</v>
      </c>
      <c r="E66" s="24">
        <v>108.7</v>
      </c>
      <c r="F66" s="24">
        <v>124</v>
      </c>
      <c r="G66" s="34">
        <f>G65/F65*100</f>
        <v>102.99994120865952</v>
      </c>
      <c r="H66" s="34">
        <f>H65/G65*100</f>
        <v>94.29868564616726</v>
      </c>
      <c r="I66" s="24">
        <v>107</v>
      </c>
      <c r="J66" s="24">
        <v>104</v>
      </c>
      <c r="K66" s="24">
        <v>116.7</v>
      </c>
      <c r="L66" s="24">
        <v>102</v>
      </c>
      <c r="M66" s="24">
        <v>102</v>
      </c>
      <c r="N66" s="24">
        <v>100.1</v>
      </c>
      <c r="O66" s="24">
        <v>104</v>
      </c>
      <c r="P66" s="24">
        <v>104</v>
      </c>
      <c r="Q66" s="24">
        <v>100.3</v>
      </c>
    </row>
    <row r="67" spans="1:17" ht="48" customHeight="1">
      <c r="A67" s="2">
        <v>38</v>
      </c>
      <c r="B67" s="1" t="s">
        <v>10</v>
      </c>
      <c r="C67" s="18" t="s">
        <v>7</v>
      </c>
      <c r="D67" s="24">
        <v>107.6</v>
      </c>
      <c r="E67" s="24">
        <v>118.8</v>
      </c>
      <c r="F67" s="24">
        <v>107.4</v>
      </c>
      <c r="G67" s="24">
        <v>103.2</v>
      </c>
      <c r="H67" s="24">
        <v>103.1</v>
      </c>
      <c r="I67" s="24">
        <v>103.9</v>
      </c>
      <c r="J67" s="24">
        <v>103.8</v>
      </c>
      <c r="K67" s="24">
        <v>103.7</v>
      </c>
      <c r="L67" s="24">
        <v>103.9</v>
      </c>
      <c r="M67" s="24">
        <v>103.8</v>
      </c>
      <c r="N67" s="24">
        <v>103.7</v>
      </c>
      <c r="O67" s="24">
        <v>103.9</v>
      </c>
      <c r="P67" s="24">
        <v>103.8</v>
      </c>
      <c r="Q67" s="24">
        <v>103.7</v>
      </c>
    </row>
    <row r="68" spans="1:17" ht="18.75" customHeight="1">
      <c r="A68" s="2">
        <v>39</v>
      </c>
      <c r="B68" s="1" t="s">
        <v>11</v>
      </c>
      <c r="C68" s="18" t="s">
        <v>7</v>
      </c>
      <c r="D68" s="24">
        <v>111.2</v>
      </c>
      <c r="E68" s="24">
        <v>114.3</v>
      </c>
      <c r="F68" s="24">
        <v>105</v>
      </c>
      <c r="G68" s="24">
        <v>102.5</v>
      </c>
      <c r="H68" s="50">
        <v>102.4</v>
      </c>
      <c r="I68" s="51">
        <v>104</v>
      </c>
      <c r="J68" s="51">
        <v>104</v>
      </c>
      <c r="K68" s="51">
        <v>104</v>
      </c>
      <c r="L68" s="51">
        <v>104</v>
      </c>
      <c r="M68" s="51">
        <v>104</v>
      </c>
      <c r="N68" s="51">
        <v>104</v>
      </c>
      <c r="O68" s="51">
        <v>104</v>
      </c>
      <c r="P68" s="51">
        <v>104</v>
      </c>
      <c r="Q68" s="51">
        <v>103.9</v>
      </c>
    </row>
    <row r="69" spans="1:17" ht="18.75" customHeight="1">
      <c r="A69" s="55">
        <v>40</v>
      </c>
      <c r="B69" s="56" t="s">
        <v>23</v>
      </c>
      <c r="C69" s="18" t="s">
        <v>30</v>
      </c>
      <c r="D69" s="24">
        <v>412.3</v>
      </c>
      <c r="E69" s="24">
        <v>1.9</v>
      </c>
      <c r="F69" s="24">
        <v>1.7</v>
      </c>
      <c r="G69" s="24">
        <v>1.2</v>
      </c>
      <c r="H69" s="24">
        <f>ROUND(G69*H70%*103.2%,1)</f>
        <v>1.2</v>
      </c>
      <c r="I69" s="24">
        <f>ROUND(H69*I70%*104%,1)</f>
        <v>1.3</v>
      </c>
      <c r="J69" s="24">
        <f>ROUND(H69*J70%*103.8%,1)</f>
        <v>1.3</v>
      </c>
      <c r="K69" s="24">
        <f>ROUND(H69*K70%*103.7%,1)</f>
        <v>1.3</v>
      </c>
      <c r="L69" s="24">
        <f>ROUND(I69*L70%*104%,1)</f>
        <v>1.4</v>
      </c>
      <c r="M69" s="24">
        <f>ROUND(J69*M70%*103.7%,1)</f>
        <v>1.4</v>
      </c>
      <c r="N69" s="24">
        <f>ROUND(K69*N70%*103.5%,1)</f>
        <v>1.4</v>
      </c>
      <c r="O69" s="24">
        <f>ROUND(L69*O70%*103.9%,1)</f>
        <v>1.5</v>
      </c>
      <c r="P69" s="24">
        <f>ROUND(M69*P70%*103.7%,1)</f>
        <v>1.5</v>
      </c>
      <c r="Q69" s="24">
        <f>ROUND(N69*Q70%*103.5%,1)</f>
        <v>1.5</v>
      </c>
    </row>
    <row r="70" spans="1:17" ht="30.75" customHeight="1">
      <c r="A70" s="55"/>
      <c r="B70" s="56"/>
      <c r="C70" s="24" t="s">
        <v>43</v>
      </c>
      <c r="D70" s="24">
        <v>111.8</v>
      </c>
      <c r="E70" s="24">
        <v>0.4</v>
      </c>
      <c r="F70" s="24">
        <v>85.3</v>
      </c>
      <c r="G70" s="34">
        <v>70</v>
      </c>
      <c r="H70" s="34">
        <v>100.9</v>
      </c>
      <c r="I70" s="34">
        <v>101</v>
      </c>
      <c r="J70" s="34">
        <v>102</v>
      </c>
      <c r="K70" s="34">
        <v>103</v>
      </c>
      <c r="L70" s="34">
        <v>101</v>
      </c>
      <c r="M70" s="34">
        <v>102.5</v>
      </c>
      <c r="N70" s="34">
        <v>103.2</v>
      </c>
      <c r="O70" s="34">
        <v>101.5</v>
      </c>
      <c r="P70" s="34">
        <v>103</v>
      </c>
      <c r="Q70" s="34">
        <v>103.5</v>
      </c>
    </row>
    <row r="71" spans="1:17" ht="30.75" customHeight="1">
      <c r="A71" s="52" t="s">
        <v>110</v>
      </c>
      <c r="B71" s="53"/>
      <c r="C71" s="18"/>
      <c r="D71" s="24"/>
      <c r="E71" s="24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</row>
    <row r="72" spans="1:17" ht="30.75" customHeight="1">
      <c r="A72" s="65">
        <v>41</v>
      </c>
      <c r="B72" s="56" t="s">
        <v>25</v>
      </c>
      <c r="C72" s="18" t="s">
        <v>30</v>
      </c>
      <c r="D72" s="24">
        <v>3430</v>
      </c>
      <c r="E72" s="24">
        <v>3786.46</v>
      </c>
      <c r="F72" s="24">
        <v>3964.14</v>
      </c>
      <c r="G72" s="24">
        <f aca="true" t="shared" si="27" ref="G72:Q72">G75+G77+G79+G81</f>
        <v>3979.4</v>
      </c>
      <c r="H72" s="24">
        <f t="shared" si="27"/>
        <v>4943.62</v>
      </c>
      <c r="I72" s="24">
        <f t="shared" si="27"/>
        <v>5388.935</v>
      </c>
      <c r="J72" s="24">
        <f t="shared" si="27"/>
        <v>5646.749999999999</v>
      </c>
      <c r="K72" s="24">
        <f t="shared" si="27"/>
        <v>6006.099999999999</v>
      </c>
      <c r="L72" s="24">
        <f t="shared" si="27"/>
        <v>6090.64</v>
      </c>
      <c r="M72" s="24">
        <f t="shared" si="27"/>
        <v>6388.08</v>
      </c>
      <c r="N72" s="24">
        <f t="shared" si="27"/>
        <v>6717.75</v>
      </c>
      <c r="O72" s="24">
        <f t="shared" si="27"/>
        <v>6303.68</v>
      </c>
      <c r="P72" s="24">
        <f t="shared" si="27"/>
        <v>6523.96</v>
      </c>
      <c r="Q72" s="24">
        <f t="shared" si="27"/>
        <v>7033.8</v>
      </c>
    </row>
    <row r="73" spans="1:17" ht="30.75" customHeight="1">
      <c r="A73" s="66"/>
      <c r="B73" s="56"/>
      <c r="C73" s="18" t="s">
        <v>6</v>
      </c>
      <c r="D73" s="24">
        <v>95.6</v>
      </c>
      <c r="E73" s="24">
        <v>110.4</v>
      </c>
      <c r="F73" s="24">
        <v>145.6</v>
      </c>
      <c r="G73" s="24">
        <v>101.9</v>
      </c>
      <c r="H73" s="34">
        <f>H72/G72*100/103.8*100</f>
        <v>119.68235642847758</v>
      </c>
      <c r="I73" s="44">
        <f>I72/H72*100/104.4*100</f>
        <v>104.41367123888196</v>
      </c>
      <c r="J73" s="34">
        <f>J72/H72*100/104.6*100</f>
        <v>109.19978805291446</v>
      </c>
      <c r="K73" s="34">
        <f>K72/H72*100/104*100</f>
        <v>116.81917610670224</v>
      </c>
      <c r="L73" s="34">
        <f>L72/I72*100/104.8*100</f>
        <v>107.84467412045196</v>
      </c>
      <c r="M73" s="34">
        <f>M72/J72*100/104.5*100</f>
        <v>108.25687723577289</v>
      </c>
      <c r="N73" s="34">
        <f>N72/K72*100/104.6*100</f>
        <v>106.93000675571935</v>
      </c>
      <c r="O73" s="44">
        <f>O72/L72*100/104.8*100</f>
        <v>98.75746772196466</v>
      </c>
      <c r="P73" s="34">
        <f>P72/M72*100/104.5*100</f>
        <v>97.7292695683989</v>
      </c>
      <c r="Q73" s="44">
        <f>Q72/N72*100/104.6*100</f>
        <v>100.1000958264374</v>
      </c>
    </row>
    <row r="74" spans="1:17" ht="20.25" customHeight="1">
      <c r="A74" s="66"/>
      <c r="B74" s="9" t="s">
        <v>56</v>
      </c>
      <c r="C74" s="18"/>
      <c r="D74" s="24"/>
      <c r="E74" s="24"/>
      <c r="F74" s="39"/>
      <c r="G74" s="39"/>
      <c r="H74" s="39"/>
      <c r="I74" s="39"/>
      <c r="J74" s="24"/>
      <c r="K74" s="24"/>
      <c r="L74" s="24"/>
      <c r="M74" s="24"/>
      <c r="N74" s="24"/>
      <c r="O74" s="39"/>
      <c r="P74" s="24"/>
      <c r="Q74" s="39"/>
    </row>
    <row r="75" spans="1:17" ht="20.25" customHeight="1">
      <c r="A75" s="66"/>
      <c r="B75" s="56" t="s">
        <v>28</v>
      </c>
      <c r="C75" s="18" t="s">
        <v>30</v>
      </c>
      <c r="D75" s="24">
        <v>3140.4</v>
      </c>
      <c r="E75" s="24">
        <v>3488.3</v>
      </c>
      <c r="F75" s="24">
        <v>3659.6</v>
      </c>
      <c r="G75" s="24">
        <v>3701.9</v>
      </c>
      <c r="H75" s="24">
        <v>4662.5</v>
      </c>
      <c r="I75" s="24">
        <v>5100</v>
      </c>
      <c r="J75" s="24">
        <v>5355.5</v>
      </c>
      <c r="K75" s="24">
        <v>5700</v>
      </c>
      <c r="L75" s="24">
        <v>5800</v>
      </c>
      <c r="M75" s="24">
        <v>6087.4</v>
      </c>
      <c r="N75" s="24">
        <v>6400</v>
      </c>
      <c r="O75" s="24">
        <v>6000</v>
      </c>
      <c r="P75" s="24">
        <v>6209.2</v>
      </c>
      <c r="Q75" s="24">
        <v>6700</v>
      </c>
    </row>
    <row r="76" spans="1:17" ht="20.25" customHeight="1">
      <c r="A76" s="66"/>
      <c r="B76" s="56"/>
      <c r="C76" s="18" t="s">
        <v>6</v>
      </c>
      <c r="D76" s="24">
        <v>97.3</v>
      </c>
      <c r="E76" s="24">
        <v>111.1</v>
      </c>
      <c r="F76" s="34">
        <v>104.9</v>
      </c>
      <c r="G76" s="34">
        <f>G75/F75*100</f>
        <v>101.15586402885562</v>
      </c>
      <c r="H76" s="34">
        <f>H75/G75*100/98.4*100</f>
        <v>127.99678565412576</v>
      </c>
      <c r="I76" s="34">
        <f>I75/H75*100/104.5*100</f>
        <v>104.67308901060841</v>
      </c>
      <c r="J76" s="34">
        <f>J75/H75*100/104.7*100</f>
        <v>109.70703990208202</v>
      </c>
      <c r="K76" s="34">
        <f>K75/H75*100/104.4*100</f>
        <v>117.09962713013465</v>
      </c>
      <c r="L76" s="34">
        <f>L75/I75*100/104.5*100</f>
        <v>108.82822028332863</v>
      </c>
      <c r="M76" s="34">
        <f>M75/J75*100/104.7*100</f>
        <v>108.56382458401536</v>
      </c>
      <c r="N76" s="34">
        <f>N75/K75*100/104*100</f>
        <v>107.96221322537112</v>
      </c>
      <c r="O76" s="34">
        <f>O75/L75*100/105.8*100</f>
        <v>97.77719835734308</v>
      </c>
      <c r="P76" s="34">
        <f>P75/M75*100/106.3*100</f>
        <v>95.95564837580245</v>
      </c>
      <c r="Q76" s="34">
        <f>Q75/N75*100/106.5*100</f>
        <v>98.2981220657277</v>
      </c>
    </row>
    <row r="77" spans="1:17" ht="20.25" customHeight="1">
      <c r="A77" s="66"/>
      <c r="B77" s="54" t="s">
        <v>29</v>
      </c>
      <c r="C77" s="18" t="s">
        <v>30</v>
      </c>
      <c r="D77" s="24">
        <v>0.155</v>
      </c>
      <c r="E77" s="24">
        <v>0.15</v>
      </c>
      <c r="F77" s="24">
        <v>0.08</v>
      </c>
      <c r="G77" s="24">
        <v>0.6</v>
      </c>
      <c r="H77" s="24">
        <v>0.62</v>
      </c>
      <c r="I77" s="24">
        <v>0.635</v>
      </c>
      <c r="J77" s="24">
        <v>0.65</v>
      </c>
      <c r="K77" s="24">
        <v>0.7</v>
      </c>
      <c r="L77" s="24">
        <v>0.64</v>
      </c>
      <c r="M77" s="24">
        <v>0.68</v>
      </c>
      <c r="N77" s="24">
        <v>0.75</v>
      </c>
      <c r="O77" s="24">
        <v>0.68</v>
      </c>
      <c r="P77" s="24">
        <v>0.76</v>
      </c>
      <c r="Q77" s="24">
        <v>0.8</v>
      </c>
    </row>
    <row r="78" spans="1:17" ht="20.25" customHeight="1">
      <c r="A78" s="66"/>
      <c r="B78" s="54"/>
      <c r="C78" s="18" t="s">
        <v>6</v>
      </c>
      <c r="D78" s="24">
        <v>129</v>
      </c>
      <c r="E78" s="24">
        <v>96.8</v>
      </c>
      <c r="F78" s="24">
        <v>53.3</v>
      </c>
      <c r="G78" s="24">
        <v>109.2</v>
      </c>
      <c r="H78" s="34">
        <f>H77/G77*100/104.3*100</f>
        <v>99.07318632150847</v>
      </c>
      <c r="I78" s="34">
        <f>I77/H77*100/104.4*100</f>
        <v>98.10283030527746</v>
      </c>
      <c r="J78" s="34">
        <f>J77/H77*100/104.6*100</f>
        <v>100.2282119286992</v>
      </c>
      <c r="K78" s="34">
        <f>K77/H77*100/104.6*100</f>
        <v>107.93807438475298</v>
      </c>
      <c r="L78" s="34">
        <f>L77/I77*100/105.2*100</f>
        <v>95.80551480494594</v>
      </c>
      <c r="M78" s="34">
        <f>M77/J77*100/104.5*100</f>
        <v>100.1104158998896</v>
      </c>
      <c r="N78" s="34">
        <f>N77/K77*100/104.6*100</f>
        <v>102.431029773286</v>
      </c>
      <c r="O78" s="34">
        <f>O77/L77*100/105.2*100</f>
        <v>100.99809885931559</v>
      </c>
      <c r="P78" s="34">
        <f>P77/M77*100/104.5*100</f>
        <v>106.95187165775401</v>
      </c>
      <c r="Q78" s="34">
        <f>Q77/N77*100/104.6*100</f>
        <v>101.97578075207139</v>
      </c>
    </row>
    <row r="79" spans="1:17" ht="20.25" customHeight="1">
      <c r="A79" s="66"/>
      <c r="B79" s="54" t="s">
        <v>118</v>
      </c>
      <c r="C79" s="18" t="s">
        <v>30</v>
      </c>
      <c r="D79" s="24">
        <v>575.9</v>
      </c>
      <c r="E79" s="24">
        <v>595.6</v>
      </c>
      <c r="F79" s="24">
        <v>633.1</v>
      </c>
      <c r="G79" s="24">
        <v>122.6</v>
      </c>
      <c r="H79" s="24">
        <v>130</v>
      </c>
      <c r="I79" s="24">
        <v>130</v>
      </c>
      <c r="J79" s="24">
        <v>131.2</v>
      </c>
      <c r="K79" s="24">
        <v>135</v>
      </c>
      <c r="L79" s="24">
        <v>131</v>
      </c>
      <c r="M79" s="24">
        <v>133</v>
      </c>
      <c r="N79" s="24">
        <v>138</v>
      </c>
      <c r="O79" s="24">
        <v>134</v>
      </c>
      <c r="P79" s="24">
        <v>139</v>
      </c>
      <c r="Q79" s="24">
        <v>145</v>
      </c>
    </row>
    <row r="80" spans="1:17" ht="20.25" customHeight="1">
      <c r="A80" s="66"/>
      <c r="B80" s="54"/>
      <c r="C80" s="18" t="s">
        <v>6</v>
      </c>
      <c r="D80" s="24">
        <v>102.5</v>
      </c>
      <c r="E80" s="24">
        <v>98.4</v>
      </c>
      <c r="F80" s="34">
        <f>F79/E79*100/105.3*100</f>
        <v>100.94603221981775</v>
      </c>
      <c r="G80" s="34">
        <f>G79/F79*100/105.2*100</f>
        <v>18.40782245369967</v>
      </c>
      <c r="H80" s="34">
        <f>H79/G79*100/104.7*100</f>
        <v>101.2759207928814</v>
      </c>
      <c r="I80" s="34">
        <f>I79/H79*100/105.5*100</f>
        <v>94.7867298578199</v>
      </c>
      <c r="J80" s="34">
        <f>J79/H79*100/105.5*100</f>
        <v>95.6616842872767</v>
      </c>
      <c r="K80" s="34">
        <f>K79/J79*100/104.4*100</f>
        <v>98.55971404541633</v>
      </c>
      <c r="L80" s="34">
        <f aca="true" t="shared" si="28" ref="L80:Q80">L79/I79*100/103.9*100</f>
        <v>96.98674761234915</v>
      </c>
      <c r="M80" s="34">
        <f t="shared" si="28"/>
        <v>97.56684429211955</v>
      </c>
      <c r="N80" s="34">
        <f t="shared" si="28"/>
        <v>98.38519944390973</v>
      </c>
      <c r="O80" s="34">
        <f t="shared" si="28"/>
        <v>98.45050657928572</v>
      </c>
      <c r="P80" s="34">
        <f t="shared" si="28"/>
        <v>100.58833320066287</v>
      </c>
      <c r="Q80" s="44">
        <f t="shared" si="28"/>
        <v>101.12845405978435</v>
      </c>
    </row>
    <row r="81" spans="1:17" ht="20.25" customHeight="1">
      <c r="A81" s="67"/>
      <c r="B81" s="57" t="s">
        <v>119</v>
      </c>
      <c r="C81" s="18" t="s">
        <v>30</v>
      </c>
      <c r="D81" s="24">
        <v>134.6</v>
      </c>
      <c r="E81" s="24">
        <v>148.1</v>
      </c>
      <c r="F81" s="24">
        <v>152</v>
      </c>
      <c r="G81" s="24">
        <v>154.3</v>
      </c>
      <c r="H81" s="24">
        <v>150.5</v>
      </c>
      <c r="I81" s="24">
        <v>158.3</v>
      </c>
      <c r="J81" s="24">
        <v>159.4</v>
      </c>
      <c r="K81" s="24">
        <v>170.4</v>
      </c>
      <c r="L81" s="24">
        <v>159</v>
      </c>
      <c r="M81" s="24">
        <v>167</v>
      </c>
      <c r="N81" s="24">
        <v>179</v>
      </c>
      <c r="O81" s="24">
        <v>169</v>
      </c>
      <c r="P81" s="24">
        <v>175</v>
      </c>
      <c r="Q81" s="24">
        <v>188</v>
      </c>
    </row>
    <row r="82" spans="1:17" ht="27" customHeight="1">
      <c r="A82" s="68"/>
      <c r="B82" s="58"/>
      <c r="C82" s="18" t="s">
        <v>6</v>
      </c>
      <c r="D82" s="24">
        <v>90</v>
      </c>
      <c r="E82" s="24">
        <v>110</v>
      </c>
      <c r="F82" s="24">
        <v>102</v>
      </c>
      <c r="G82" s="24">
        <v>101.5</v>
      </c>
      <c r="H82" s="34">
        <f>H81/G81*100/104.8*100</f>
        <v>93.06990941607754</v>
      </c>
      <c r="I82" s="34">
        <f>I81/H81*100/104*100</f>
        <v>101.1372348581651</v>
      </c>
      <c r="J82" s="34">
        <f>J81/H81*100/104*100</f>
        <v>101.8400204446716</v>
      </c>
      <c r="K82" s="34">
        <f aca="true" t="shared" si="29" ref="K82:Q82">K81/H81*100/104*100</f>
        <v>108.86787630973677</v>
      </c>
      <c r="L82" s="34">
        <f t="shared" si="29"/>
        <v>96.5790368822586</v>
      </c>
      <c r="M82" s="34">
        <f t="shared" si="29"/>
        <v>100.73834571952516</v>
      </c>
      <c r="N82" s="34">
        <f t="shared" si="29"/>
        <v>101.0066811123149</v>
      </c>
      <c r="O82" s="34">
        <f t="shared" si="29"/>
        <v>102.20125786163523</v>
      </c>
      <c r="P82" s="34">
        <f t="shared" si="29"/>
        <v>100.76001842468906</v>
      </c>
      <c r="Q82" s="34">
        <f t="shared" si="29"/>
        <v>100.98839707778255</v>
      </c>
    </row>
    <row r="83" spans="1:17" ht="47.25" customHeight="1">
      <c r="A83" s="33">
        <v>42</v>
      </c>
      <c r="B83" s="17" t="s">
        <v>104</v>
      </c>
      <c r="C83" s="36" t="s">
        <v>30</v>
      </c>
      <c r="D83" s="24">
        <v>3944.5</v>
      </c>
      <c r="E83" s="24">
        <v>4354.4</v>
      </c>
      <c r="F83" s="24">
        <v>5511.8</v>
      </c>
      <c r="G83" s="24">
        <v>4980</v>
      </c>
      <c r="H83" s="24">
        <v>4820</v>
      </c>
      <c r="I83" s="24">
        <v>5000</v>
      </c>
      <c r="J83" s="24">
        <v>5004.9</v>
      </c>
      <c r="K83" s="24">
        <v>5015</v>
      </c>
      <c r="L83" s="24">
        <v>5015</v>
      </c>
      <c r="M83" s="24">
        <v>5020</v>
      </c>
      <c r="N83" s="24">
        <v>5100</v>
      </c>
      <c r="O83" s="24">
        <v>5250</v>
      </c>
      <c r="P83" s="24">
        <v>5300</v>
      </c>
      <c r="Q83" s="24">
        <v>5500</v>
      </c>
    </row>
    <row r="84" spans="1:17" s="16" customFormat="1" ht="42" customHeight="1">
      <c r="A84" s="20">
        <v>43</v>
      </c>
      <c r="B84" s="17" t="s">
        <v>104</v>
      </c>
      <c r="C84" s="18" t="s">
        <v>96</v>
      </c>
      <c r="D84" s="24">
        <v>94.2</v>
      </c>
      <c r="E84" s="34">
        <f>E83/D83*100/99.4*100</f>
        <v>111.05803282108673</v>
      </c>
      <c r="F84" s="34">
        <f>F83/E83*100/101.5*100</f>
        <v>124.70937046633767</v>
      </c>
      <c r="G84" s="34">
        <f>G83/F83*100/101.3*100</f>
        <v>89.19211182097445</v>
      </c>
      <c r="H84" s="34">
        <f>H83/G83*100/103.8*100</f>
        <v>93.24388111211707</v>
      </c>
      <c r="I84" s="34">
        <f>I83/H83*100/104.4*100</f>
        <v>99.36249026247597</v>
      </c>
      <c r="J84" s="34">
        <f>J83/H83*100/104.6*100</f>
        <v>99.26969367596773</v>
      </c>
      <c r="K84" s="34">
        <f>K83/H83*100/104.5*100</f>
        <v>99.56520875935595</v>
      </c>
      <c r="L84" s="34">
        <f>L83/I83*100/104.8*100</f>
        <v>95.706106870229</v>
      </c>
      <c r="M84" s="34">
        <f>M83/J83*100/104.5*100</f>
        <v>95.9824921815855</v>
      </c>
      <c r="N84" s="34">
        <f>N83/K83*100/104.6*100</f>
        <v>97.2226723271867</v>
      </c>
      <c r="O84" s="34">
        <f>O83/L83*100/104.8*100</f>
        <v>99.89116619606827</v>
      </c>
      <c r="P84" s="34">
        <f>P83/M83*100/104.5*100</f>
        <v>101.0312815722755</v>
      </c>
      <c r="Q84" s="34">
        <f>Q83/N83*100/104*100</f>
        <v>103.69532428355959</v>
      </c>
    </row>
    <row r="85" spans="1:17" ht="16.5" customHeight="1">
      <c r="A85" s="55">
        <v>44</v>
      </c>
      <c r="B85" s="54" t="s">
        <v>8</v>
      </c>
      <c r="C85" s="18" t="s">
        <v>9</v>
      </c>
      <c r="D85" s="24">
        <v>662</v>
      </c>
      <c r="E85" s="24">
        <v>680</v>
      </c>
      <c r="F85" s="24">
        <v>529</v>
      </c>
      <c r="G85" s="24">
        <v>528.6</v>
      </c>
      <c r="H85" s="24">
        <v>271.9</v>
      </c>
      <c r="I85" s="24">
        <v>290</v>
      </c>
      <c r="J85" s="24">
        <v>310</v>
      </c>
      <c r="K85" s="24">
        <v>350</v>
      </c>
      <c r="L85" s="24">
        <v>300</v>
      </c>
      <c r="M85" s="24">
        <v>432</v>
      </c>
      <c r="N85" s="24">
        <v>480</v>
      </c>
      <c r="O85" s="24">
        <v>360</v>
      </c>
      <c r="P85" s="24">
        <v>460</v>
      </c>
      <c r="Q85" s="24">
        <v>550</v>
      </c>
    </row>
    <row r="86" spans="1:17" ht="16.5" customHeight="1">
      <c r="A86" s="55"/>
      <c r="B86" s="54"/>
      <c r="C86" s="18" t="s">
        <v>6</v>
      </c>
      <c r="D86" s="24">
        <v>144</v>
      </c>
      <c r="E86" s="24">
        <v>103</v>
      </c>
      <c r="F86" s="24">
        <v>78</v>
      </c>
      <c r="G86" s="34">
        <f>G85/E85*100</f>
        <v>77.73529411764706</v>
      </c>
      <c r="H86" s="34">
        <f>H85/G85*100</f>
        <v>51.437760121074525</v>
      </c>
      <c r="I86" s="34">
        <f>I85/H85*100</f>
        <v>106.6568591393895</v>
      </c>
      <c r="J86" s="34">
        <f>J85/H85*100</f>
        <v>114.01250459727844</v>
      </c>
      <c r="K86" s="34">
        <f aca="true" t="shared" si="30" ref="K86:Q86">K85/H85*100</f>
        <v>128.72379551305627</v>
      </c>
      <c r="L86" s="34">
        <f t="shared" si="30"/>
        <v>103.44827586206897</v>
      </c>
      <c r="M86" s="34">
        <f t="shared" si="30"/>
        <v>139.3548387096774</v>
      </c>
      <c r="N86" s="34">
        <f t="shared" si="30"/>
        <v>137.14285714285714</v>
      </c>
      <c r="O86" s="34">
        <f t="shared" si="30"/>
        <v>120</v>
      </c>
      <c r="P86" s="34">
        <f t="shared" si="30"/>
        <v>106.4814814814815</v>
      </c>
      <c r="Q86" s="34">
        <f t="shared" si="30"/>
        <v>114.58333333333333</v>
      </c>
    </row>
    <row r="87" spans="1:17" ht="30.75" customHeight="1">
      <c r="A87" s="52" t="s">
        <v>111</v>
      </c>
      <c r="B87" s="53"/>
      <c r="C87" s="18"/>
      <c r="D87" s="24"/>
      <c r="E87" s="24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</row>
    <row r="88" spans="1:17" ht="17.25" customHeight="1">
      <c r="A88" s="55">
        <v>45</v>
      </c>
      <c r="B88" s="56" t="s">
        <v>27</v>
      </c>
      <c r="C88" s="18" t="s">
        <v>30</v>
      </c>
      <c r="D88" s="24">
        <v>-140</v>
      </c>
      <c r="E88" s="24">
        <v>-151.9</v>
      </c>
      <c r="F88" s="24">
        <v>210.92</v>
      </c>
      <c r="G88" s="24">
        <v>214</v>
      </c>
      <c r="H88" s="24">
        <v>111</v>
      </c>
      <c r="I88" s="24">
        <v>218</v>
      </c>
      <c r="J88" s="24">
        <v>120</v>
      </c>
      <c r="K88" s="24">
        <v>218</v>
      </c>
      <c r="L88" s="24">
        <v>220</v>
      </c>
      <c r="M88" s="24">
        <v>220</v>
      </c>
      <c r="N88" s="24">
        <v>220</v>
      </c>
      <c r="O88" s="24">
        <v>224</v>
      </c>
      <c r="P88" s="24">
        <v>224</v>
      </c>
      <c r="Q88" s="24">
        <v>224</v>
      </c>
    </row>
    <row r="89" spans="1:17" ht="17.25" customHeight="1">
      <c r="A89" s="55"/>
      <c r="B89" s="56"/>
      <c r="C89" s="18" t="s">
        <v>6</v>
      </c>
      <c r="D89" s="24" t="s">
        <v>129</v>
      </c>
      <c r="E89" s="24" t="s">
        <v>130</v>
      </c>
      <c r="F89" s="24">
        <v>145.5</v>
      </c>
      <c r="G89" s="34">
        <f>G88/F88*100</f>
        <v>101.46026929641572</v>
      </c>
      <c r="H89" s="34">
        <f>H88/G88*100</f>
        <v>51.86915887850467</v>
      </c>
      <c r="I89" s="24">
        <v>102</v>
      </c>
      <c r="J89" s="24">
        <v>102</v>
      </c>
      <c r="K89" s="24">
        <v>102</v>
      </c>
      <c r="L89" s="24">
        <v>101</v>
      </c>
      <c r="M89" s="24">
        <v>101</v>
      </c>
      <c r="N89" s="24">
        <v>101</v>
      </c>
      <c r="O89" s="24">
        <v>102</v>
      </c>
      <c r="P89" s="24">
        <v>102</v>
      </c>
      <c r="Q89" s="24">
        <v>102</v>
      </c>
    </row>
    <row r="90" spans="1:17" ht="17.25" customHeight="1">
      <c r="A90" s="55">
        <v>46</v>
      </c>
      <c r="B90" s="56" t="s">
        <v>31</v>
      </c>
      <c r="C90" s="18" t="s">
        <v>30</v>
      </c>
      <c r="D90" s="24">
        <v>-147</v>
      </c>
      <c r="E90" s="24">
        <v>-145</v>
      </c>
      <c r="F90" s="24">
        <v>210.92</v>
      </c>
      <c r="G90" s="24">
        <v>214</v>
      </c>
      <c r="H90" s="24">
        <v>111</v>
      </c>
      <c r="I90" s="24">
        <v>218</v>
      </c>
      <c r="J90" s="24">
        <v>218</v>
      </c>
      <c r="K90" s="24">
        <v>218</v>
      </c>
      <c r="L90" s="24">
        <v>220</v>
      </c>
      <c r="M90" s="24">
        <v>220</v>
      </c>
      <c r="N90" s="24">
        <v>220</v>
      </c>
      <c r="O90" s="24">
        <v>224</v>
      </c>
      <c r="P90" s="24">
        <v>224</v>
      </c>
      <c r="Q90" s="24">
        <v>224</v>
      </c>
    </row>
    <row r="91" spans="1:17" ht="17.25" customHeight="1">
      <c r="A91" s="55"/>
      <c r="B91" s="56"/>
      <c r="C91" s="18" t="s">
        <v>6</v>
      </c>
      <c r="D91" s="24" t="s">
        <v>129</v>
      </c>
      <c r="E91" s="24" t="s">
        <v>130</v>
      </c>
      <c r="F91" s="24">
        <v>145.5</v>
      </c>
      <c r="G91" s="24">
        <v>101.5</v>
      </c>
      <c r="H91" s="34">
        <f>H90/G90*100</f>
        <v>51.86915887850467</v>
      </c>
      <c r="I91" s="24">
        <v>102</v>
      </c>
      <c r="J91" s="24">
        <v>102</v>
      </c>
      <c r="K91" s="24">
        <v>102</v>
      </c>
      <c r="L91" s="24">
        <v>101</v>
      </c>
      <c r="M91" s="24">
        <v>101</v>
      </c>
      <c r="N91" s="24">
        <v>101</v>
      </c>
      <c r="O91" s="24">
        <v>102</v>
      </c>
      <c r="P91" s="24">
        <v>102</v>
      </c>
      <c r="Q91" s="24">
        <v>102</v>
      </c>
    </row>
    <row r="92" spans="1:17" ht="17.25" customHeight="1">
      <c r="A92" s="55">
        <v>47</v>
      </c>
      <c r="B92" s="56" t="s">
        <v>32</v>
      </c>
      <c r="C92" s="18" t="s">
        <v>30</v>
      </c>
      <c r="D92" s="24">
        <v>7</v>
      </c>
      <c r="E92" s="24" t="s">
        <v>130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24">
        <v>0</v>
      </c>
    </row>
    <row r="93" spans="1:17" ht="15">
      <c r="A93" s="55"/>
      <c r="B93" s="56"/>
      <c r="C93" s="18" t="s">
        <v>6</v>
      </c>
      <c r="D93" s="24" t="s">
        <v>129</v>
      </c>
      <c r="E93" s="24" t="s">
        <v>130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4">
        <v>0</v>
      </c>
    </row>
    <row r="94" spans="1:17" ht="15">
      <c r="A94" s="65">
        <v>48</v>
      </c>
      <c r="B94" s="56" t="s">
        <v>33</v>
      </c>
      <c r="C94" s="18" t="s">
        <v>30</v>
      </c>
      <c r="D94" s="24" t="s">
        <v>129</v>
      </c>
      <c r="E94" s="24" t="s">
        <v>130</v>
      </c>
      <c r="F94" s="24">
        <v>276</v>
      </c>
      <c r="G94" s="24">
        <v>277.4</v>
      </c>
      <c r="H94" s="24">
        <v>208</v>
      </c>
      <c r="I94" s="24">
        <v>280</v>
      </c>
      <c r="J94" s="24">
        <v>280</v>
      </c>
      <c r="K94" s="24">
        <v>280</v>
      </c>
      <c r="L94" s="24">
        <v>287</v>
      </c>
      <c r="M94" s="24">
        <v>287</v>
      </c>
      <c r="N94" s="24">
        <v>287</v>
      </c>
      <c r="O94" s="24">
        <v>293</v>
      </c>
      <c r="P94" s="24">
        <v>293</v>
      </c>
      <c r="Q94" s="24">
        <v>293</v>
      </c>
    </row>
    <row r="95" spans="1:17" ht="16.5" customHeight="1">
      <c r="A95" s="66"/>
      <c r="B95" s="56"/>
      <c r="C95" s="18" t="s">
        <v>6</v>
      </c>
      <c r="D95" s="24" t="s">
        <v>129</v>
      </c>
      <c r="E95" s="24" t="s">
        <v>130</v>
      </c>
      <c r="F95" s="24">
        <v>239</v>
      </c>
      <c r="G95" s="24">
        <v>101</v>
      </c>
      <c r="H95" s="34">
        <f>H94/G94*100</f>
        <v>74.98197548666187</v>
      </c>
      <c r="I95" s="24">
        <v>101</v>
      </c>
      <c r="J95" s="24">
        <v>101</v>
      </c>
      <c r="K95" s="24">
        <v>101</v>
      </c>
      <c r="L95" s="24">
        <v>103</v>
      </c>
      <c r="M95" s="24">
        <v>103</v>
      </c>
      <c r="N95" s="24">
        <v>103</v>
      </c>
      <c r="O95" s="24">
        <v>103</v>
      </c>
      <c r="P95" s="24">
        <v>103</v>
      </c>
      <c r="Q95" s="24">
        <v>103</v>
      </c>
    </row>
    <row r="96" spans="1:17" ht="16.5" customHeight="1">
      <c r="A96" s="66"/>
      <c r="B96" s="10" t="s">
        <v>34</v>
      </c>
      <c r="C96" s="18"/>
      <c r="D96" s="24"/>
      <c r="E96" s="24"/>
      <c r="F96" s="24"/>
      <c r="G96" s="24"/>
      <c r="H96" s="24"/>
      <c r="I96" s="39"/>
      <c r="J96" s="24"/>
      <c r="K96" s="39"/>
      <c r="L96" s="39"/>
      <c r="M96" s="24"/>
      <c r="N96" s="39"/>
      <c r="O96" s="39"/>
      <c r="P96" s="24"/>
      <c r="Q96" s="39"/>
    </row>
    <row r="97" spans="1:17" ht="16.5" customHeight="1">
      <c r="A97" s="66"/>
      <c r="B97" s="56" t="s">
        <v>28</v>
      </c>
      <c r="C97" s="18" t="s">
        <v>30</v>
      </c>
      <c r="D97" s="24" t="s">
        <v>129</v>
      </c>
      <c r="E97" s="24" t="s">
        <v>130</v>
      </c>
      <c r="F97" s="24">
        <v>267.1</v>
      </c>
      <c r="G97" s="24">
        <v>268.4</v>
      </c>
      <c r="H97" s="24">
        <v>117</v>
      </c>
      <c r="I97" s="24">
        <v>271</v>
      </c>
      <c r="J97" s="24">
        <v>271</v>
      </c>
      <c r="K97" s="24">
        <v>271</v>
      </c>
      <c r="L97" s="24">
        <v>277.1</v>
      </c>
      <c r="M97" s="24">
        <v>277.1</v>
      </c>
      <c r="N97" s="24">
        <v>277.1</v>
      </c>
      <c r="O97" s="24">
        <v>283</v>
      </c>
      <c r="P97" s="24">
        <v>283</v>
      </c>
      <c r="Q97" s="24">
        <v>283</v>
      </c>
    </row>
    <row r="98" spans="1:17" ht="16.5" customHeight="1">
      <c r="A98" s="66"/>
      <c r="B98" s="56"/>
      <c r="C98" s="18" t="s">
        <v>6</v>
      </c>
      <c r="D98" s="24" t="s">
        <v>129</v>
      </c>
      <c r="E98" s="24" t="s">
        <v>130</v>
      </c>
      <c r="F98" s="24">
        <v>156</v>
      </c>
      <c r="G98" s="24">
        <v>102</v>
      </c>
      <c r="H98" s="34">
        <f>H97/G97*100</f>
        <v>43.59165424739195</v>
      </c>
      <c r="I98" s="24">
        <v>101</v>
      </c>
      <c r="J98" s="24">
        <v>101</v>
      </c>
      <c r="K98" s="24">
        <v>101</v>
      </c>
      <c r="L98" s="24">
        <v>102.3</v>
      </c>
      <c r="M98" s="24">
        <v>102.3</v>
      </c>
      <c r="N98" s="24">
        <v>102.3</v>
      </c>
      <c r="O98" s="24">
        <v>102.3</v>
      </c>
      <c r="P98" s="24">
        <v>102.3</v>
      </c>
      <c r="Q98" s="24">
        <v>102.3</v>
      </c>
    </row>
    <row r="99" spans="1:17" ht="15">
      <c r="A99" s="66"/>
      <c r="B99" s="54" t="s">
        <v>29</v>
      </c>
      <c r="C99" s="18" t="s">
        <v>30</v>
      </c>
      <c r="D99" s="24">
        <v>8.72</v>
      </c>
      <c r="E99" s="24">
        <v>9.96</v>
      </c>
      <c r="F99" s="24">
        <v>8.92</v>
      </c>
      <c r="G99" s="24">
        <v>9</v>
      </c>
      <c r="H99" s="24">
        <v>8.8</v>
      </c>
      <c r="I99" s="24">
        <v>9.7</v>
      </c>
      <c r="J99" s="24">
        <v>9.5</v>
      </c>
      <c r="K99" s="24">
        <v>9.9</v>
      </c>
      <c r="L99" s="24">
        <v>10</v>
      </c>
      <c r="M99" s="24">
        <v>9.9</v>
      </c>
      <c r="N99" s="24">
        <v>10.3</v>
      </c>
      <c r="O99" s="24">
        <v>10.5</v>
      </c>
      <c r="P99" s="24">
        <v>10</v>
      </c>
      <c r="Q99" s="24">
        <v>10.8</v>
      </c>
    </row>
    <row r="100" spans="1:17" ht="15">
      <c r="A100" s="66"/>
      <c r="B100" s="54"/>
      <c r="C100" s="18" t="s">
        <v>6</v>
      </c>
      <c r="D100" s="24">
        <v>127</v>
      </c>
      <c r="E100" s="24">
        <v>114</v>
      </c>
      <c r="F100" s="24">
        <v>89.6</v>
      </c>
      <c r="G100" s="24">
        <v>101</v>
      </c>
      <c r="H100" s="34">
        <f>H99/G99*100</f>
        <v>97.77777777777779</v>
      </c>
      <c r="I100" s="24">
        <v>108</v>
      </c>
      <c r="J100" s="24">
        <v>106</v>
      </c>
      <c r="K100" s="24">
        <v>110</v>
      </c>
      <c r="L100" s="24">
        <v>103</v>
      </c>
      <c r="M100" s="24">
        <v>104.2</v>
      </c>
      <c r="N100" s="24">
        <v>104</v>
      </c>
      <c r="O100" s="24">
        <v>105</v>
      </c>
      <c r="P100" s="24">
        <v>101</v>
      </c>
      <c r="Q100" s="24">
        <v>105</v>
      </c>
    </row>
    <row r="101" spans="1:17" ht="15">
      <c r="A101" s="66"/>
      <c r="B101" s="54" t="s">
        <v>118</v>
      </c>
      <c r="C101" s="18" t="s">
        <v>30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24">
        <v>0</v>
      </c>
      <c r="O101" s="24">
        <v>0</v>
      </c>
      <c r="P101" s="24">
        <v>0</v>
      </c>
      <c r="Q101" s="24">
        <v>0</v>
      </c>
    </row>
    <row r="102" spans="1:17" ht="17.25" customHeight="1">
      <c r="A102" s="66"/>
      <c r="B102" s="54"/>
      <c r="C102" s="18" t="s">
        <v>6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24">
        <v>0</v>
      </c>
      <c r="O102" s="24">
        <v>0</v>
      </c>
      <c r="P102" s="24">
        <v>0</v>
      </c>
      <c r="Q102" s="24">
        <v>0</v>
      </c>
    </row>
    <row r="103" spans="1:17" ht="16.5" customHeight="1">
      <c r="A103" s="66"/>
      <c r="B103" s="57" t="s">
        <v>119</v>
      </c>
      <c r="C103" s="18" t="s">
        <v>30</v>
      </c>
      <c r="D103" s="24">
        <v>0</v>
      </c>
      <c r="E103" s="24">
        <v>0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4">
        <v>0</v>
      </c>
      <c r="O103" s="24">
        <v>0</v>
      </c>
      <c r="P103" s="24">
        <v>0</v>
      </c>
      <c r="Q103" s="24">
        <v>0</v>
      </c>
    </row>
    <row r="104" spans="1:17" ht="24.75" customHeight="1">
      <c r="A104" s="83"/>
      <c r="B104" s="58"/>
      <c r="C104" s="18" t="s">
        <v>6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  <c r="L104" s="24">
        <v>0</v>
      </c>
      <c r="M104" s="24">
        <v>0</v>
      </c>
      <c r="N104" s="24">
        <v>0</v>
      </c>
      <c r="O104" s="24">
        <v>0</v>
      </c>
      <c r="P104" s="24">
        <v>0</v>
      </c>
      <c r="Q104" s="24">
        <v>0</v>
      </c>
    </row>
    <row r="105" spans="1:18" ht="30">
      <c r="A105" s="2">
        <v>49</v>
      </c>
      <c r="B105" s="23" t="s">
        <v>35</v>
      </c>
      <c r="C105" s="18" t="s">
        <v>7</v>
      </c>
      <c r="D105" s="24">
        <v>50</v>
      </c>
      <c r="E105" s="24" t="s">
        <v>130</v>
      </c>
      <c r="F105" s="24">
        <v>80</v>
      </c>
      <c r="G105" s="24">
        <v>80</v>
      </c>
      <c r="H105" s="24">
        <v>80</v>
      </c>
      <c r="I105" s="24">
        <v>80</v>
      </c>
      <c r="J105" s="24">
        <v>80</v>
      </c>
      <c r="K105" s="24">
        <v>80</v>
      </c>
      <c r="L105" s="24">
        <v>80</v>
      </c>
      <c r="M105" s="24">
        <v>80</v>
      </c>
      <c r="N105" s="24">
        <v>80</v>
      </c>
      <c r="O105" s="24">
        <v>80</v>
      </c>
      <c r="P105" s="24">
        <v>80</v>
      </c>
      <c r="Q105" s="24">
        <v>80</v>
      </c>
      <c r="R105" s="5"/>
    </row>
    <row r="106" spans="1:17" ht="30">
      <c r="A106" s="21">
        <v>50</v>
      </c>
      <c r="B106" s="13" t="s">
        <v>105</v>
      </c>
      <c r="C106" s="18" t="s">
        <v>30</v>
      </c>
      <c r="D106" s="24">
        <v>33.6</v>
      </c>
      <c r="E106" s="24">
        <v>39.9</v>
      </c>
      <c r="F106" s="24">
        <v>39.6</v>
      </c>
      <c r="G106" s="24">
        <v>48.7</v>
      </c>
      <c r="H106" s="24">
        <v>41.24</v>
      </c>
      <c r="I106" s="24">
        <v>26</v>
      </c>
      <c r="J106" s="24">
        <v>40.5</v>
      </c>
      <c r="K106" s="24">
        <v>26</v>
      </c>
      <c r="L106" s="24">
        <v>28</v>
      </c>
      <c r="M106" s="24">
        <v>40.6</v>
      </c>
      <c r="N106" s="24">
        <v>28</v>
      </c>
      <c r="O106" s="24">
        <v>28</v>
      </c>
      <c r="P106" s="24">
        <v>40.6</v>
      </c>
      <c r="Q106" s="24">
        <v>28</v>
      </c>
    </row>
    <row r="107" spans="1:17" ht="27.75" customHeight="1">
      <c r="A107" s="52" t="s">
        <v>112</v>
      </c>
      <c r="B107" s="53"/>
      <c r="C107" s="24"/>
      <c r="D107" s="24"/>
      <c r="E107" s="24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</row>
    <row r="108" spans="1:17" ht="30">
      <c r="A108" s="2">
        <v>51</v>
      </c>
      <c r="B108" s="1" t="s">
        <v>36</v>
      </c>
      <c r="C108" s="18" t="s">
        <v>40</v>
      </c>
      <c r="D108" s="24"/>
      <c r="E108" s="24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</row>
    <row r="109" spans="1:17" ht="30">
      <c r="A109" s="2">
        <v>52</v>
      </c>
      <c r="B109" s="1" t="s">
        <v>37</v>
      </c>
      <c r="C109" s="18" t="s">
        <v>40</v>
      </c>
      <c r="D109" s="24">
        <v>315</v>
      </c>
      <c r="E109" s="24">
        <v>675.5</v>
      </c>
      <c r="F109" s="24">
        <v>760.8</v>
      </c>
      <c r="G109" s="24">
        <v>523.7</v>
      </c>
      <c r="H109" s="24">
        <v>502</v>
      </c>
      <c r="I109" s="24">
        <v>550</v>
      </c>
      <c r="J109" s="24">
        <v>540</v>
      </c>
      <c r="K109" s="24">
        <v>550</v>
      </c>
      <c r="L109" s="24">
        <v>420</v>
      </c>
      <c r="M109" s="24">
        <v>455</v>
      </c>
      <c r="N109" s="24">
        <v>420</v>
      </c>
      <c r="O109" s="24">
        <v>390</v>
      </c>
      <c r="P109" s="24">
        <v>400</v>
      </c>
      <c r="Q109" s="24">
        <v>390</v>
      </c>
    </row>
    <row r="110" spans="1:17" ht="30">
      <c r="A110" s="2">
        <v>53</v>
      </c>
      <c r="B110" s="1" t="s">
        <v>38</v>
      </c>
      <c r="C110" s="18" t="s">
        <v>40</v>
      </c>
      <c r="D110" s="24"/>
      <c r="E110" s="24"/>
      <c r="F110" s="39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</row>
    <row r="111" spans="1:17" ht="30">
      <c r="A111" s="2">
        <v>54</v>
      </c>
      <c r="B111" s="1" t="s">
        <v>39</v>
      </c>
      <c r="C111" s="18" t="s">
        <v>40</v>
      </c>
      <c r="D111" s="24">
        <v>2678</v>
      </c>
      <c r="E111" s="24">
        <v>2376.8</v>
      </c>
      <c r="F111" s="24">
        <v>1811.7</v>
      </c>
      <c r="G111" s="24">
        <v>1139</v>
      </c>
      <c r="H111" s="24">
        <v>1200</v>
      </c>
      <c r="I111" s="24">
        <v>1140</v>
      </c>
      <c r="J111" s="24">
        <v>1200</v>
      </c>
      <c r="K111" s="24">
        <v>1250</v>
      </c>
      <c r="L111" s="24">
        <v>1160</v>
      </c>
      <c r="M111" s="24">
        <v>1250</v>
      </c>
      <c r="N111" s="24">
        <v>1270</v>
      </c>
      <c r="O111" s="24">
        <v>1290</v>
      </c>
      <c r="P111" s="24">
        <v>1270</v>
      </c>
      <c r="Q111" s="24">
        <v>1290</v>
      </c>
    </row>
    <row r="112" spans="1:17" ht="29.25" customHeight="1">
      <c r="A112" s="52" t="s">
        <v>113</v>
      </c>
      <c r="B112" s="53"/>
      <c r="C112" s="24"/>
      <c r="D112" s="24"/>
      <c r="E112" s="24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</row>
    <row r="113" spans="1:17" ht="34.5" customHeight="1">
      <c r="A113" s="7">
        <v>55</v>
      </c>
      <c r="B113" s="11" t="s">
        <v>94</v>
      </c>
      <c r="C113" s="18" t="s">
        <v>95</v>
      </c>
      <c r="D113" s="24">
        <v>197991</v>
      </c>
      <c r="E113" s="24">
        <v>156947</v>
      </c>
      <c r="F113" s="24">
        <v>245600</v>
      </c>
      <c r="G113" s="24">
        <v>426823.6</v>
      </c>
      <c r="H113" s="24">
        <f aca="true" t="shared" si="31" ref="H113:Q113">H117+H126+H131</f>
        <v>428700</v>
      </c>
      <c r="I113" s="24">
        <f t="shared" si="31"/>
        <v>810000</v>
      </c>
      <c r="J113" s="24">
        <f t="shared" si="31"/>
        <v>922600</v>
      </c>
      <c r="K113" s="24">
        <f t="shared" si="31"/>
        <v>1090800</v>
      </c>
      <c r="L113" s="24">
        <f t="shared" si="31"/>
        <v>531300</v>
      </c>
      <c r="M113" s="24">
        <f t="shared" si="31"/>
        <v>715200</v>
      </c>
      <c r="N113" s="24">
        <f t="shared" si="31"/>
        <v>820600</v>
      </c>
      <c r="O113" s="24">
        <f t="shared" si="31"/>
        <v>392000</v>
      </c>
      <c r="P113" s="24">
        <f t="shared" si="31"/>
        <v>204000</v>
      </c>
      <c r="Q113" s="24">
        <f t="shared" si="31"/>
        <v>521000</v>
      </c>
    </row>
    <row r="114" spans="1:17" ht="34.5" customHeight="1">
      <c r="A114" s="2">
        <v>56</v>
      </c>
      <c r="B114" s="1" t="s">
        <v>97</v>
      </c>
      <c r="C114" s="18" t="s">
        <v>96</v>
      </c>
      <c r="D114" s="24">
        <v>105.9</v>
      </c>
      <c r="E114" s="24">
        <v>57.9</v>
      </c>
      <c r="F114" s="24">
        <v>108.1</v>
      </c>
      <c r="G114" s="34">
        <f>G113/E113*100/105.8*100</f>
        <v>257.0453418931364</v>
      </c>
      <c r="H114" s="34">
        <f>H113/G113*100/104.6*100</f>
        <v>96.02258083406633</v>
      </c>
      <c r="I114" s="34">
        <f>I113/H113*100/104*100</f>
        <v>181.67626635086395</v>
      </c>
      <c r="J114" s="34">
        <f>J113/H113*100/104.4*100</f>
        <v>206.13866925490674</v>
      </c>
      <c r="K114" s="34">
        <f>K113/H113*100/104.6*100</f>
        <v>243.25398365194073</v>
      </c>
      <c r="L114" s="34">
        <f>L113/I113*100/104.8*100</f>
        <v>62.58835171048912</v>
      </c>
      <c r="M114" s="34">
        <f>M113/J113*100/104.2*100</f>
        <v>74.39544340391609</v>
      </c>
      <c r="N114" s="34">
        <f>N113/K113*100/104.8*100</f>
        <v>71.78357784887905</v>
      </c>
      <c r="O114" s="34">
        <f>O113/L113*100/104.8*100</f>
        <v>70.40199539369802</v>
      </c>
      <c r="P114" s="34">
        <f>P113/M113*100/104.2*100</f>
        <v>27.373790722539255</v>
      </c>
      <c r="Q114" s="34">
        <f>Q113/N113*100/104.6*100</f>
        <v>60.698020242615</v>
      </c>
    </row>
    <row r="115" spans="1:17" ht="34.5" customHeight="1">
      <c r="A115" s="21">
        <v>57</v>
      </c>
      <c r="B115" s="13" t="s">
        <v>106</v>
      </c>
      <c r="C115" s="18" t="s">
        <v>7</v>
      </c>
      <c r="D115" s="24">
        <v>111.5</v>
      </c>
      <c r="E115" s="24">
        <v>61.4</v>
      </c>
      <c r="F115" s="24">
        <v>156.5</v>
      </c>
      <c r="G115" s="45">
        <f>G113/E113*100</f>
        <v>271.9539717229383</v>
      </c>
      <c r="H115" s="45">
        <f>H113/G113*100</f>
        <v>100.43961955243337</v>
      </c>
      <c r="I115" s="46">
        <f>I113/H113*100</f>
        <v>188.94331700489852</v>
      </c>
      <c r="J115" s="45">
        <f>J113/H113*100</f>
        <v>215.20877070212268</v>
      </c>
      <c r="K115" s="45">
        <f>K113/H113*100</f>
        <v>254.44366689993</v>
      </c>
      <c r="L115" s="45">
        <f aca="true" t="shared" si="32" ref="L115:Q115">L113/I113*100</f>
        <v>65.5925925925926</v>
      </c>
      <c r="M115" s="45">
        <f>M113/J113*100</f>
        <v>77.52005202688056</v>
      </c>
      <c r="N115" s="45">
        <f t="shared" si="32"/>
        <v>75.22918958562524</v>
      </c>
      <c r="O115" s="45">
        <f>O113/L113*100</f>
        <v>73.78129117259552</v>
      </c>
      <c r="P115" s="45">
        <f t="shared" si="32"/>
        <v>28.523489932885905</v>
      </c>
      <c r="Q115" s="45">
        <f t="shared" si="32"/>
        <v>63.49012917377529</v>
      </c>
    </row>
    <row r="116" spans="1:17" ht="30">
      <c r="A116" s="80">
        <v>58</v>
      </c>
      <c r="B116" s="1" t="s">
        <v>78</v>
      </c>
      <c r="C116" s="47"/>
      <c r="D116" s="24"/>
      <c r="E116" s="24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</row>
    <row r="117" spans="1:17" ht="15">
      <c r="A117" s="81"/>
      <c r="B117" s="1" t="s">
        <v>79</v>
      </c>
      <c r="C117" s="18" t="s">
        <v>40</v>
      </c>
      <c r="D117" s="24">
        <v>194028</v>
      </c>
      <c r="E117" s="24">
        <v>156947</v>
      </c>
      <c r="F117" s="24">
        <v>245600</v>
      </c>
      <c r="G117" s="24">
        <v>350500</v>
      </c>
      <c r="H117" s="24">
        <v>415200</v>
      </c>
      <c r="I117" s="39">
        <v>800000</v>
      </c>
      <c r="J117" s="24">
        <v>908400</v>
      </c>
      <c r="K117" s="24">
        <v>1070800</v>
      </c>
      <c r="L117" s="24">
        <v>520000</v>
      </c>
      <c r="M117" s="24">
        <v>699700</v>
      </c>
      <c r="N117" s="24">
        <v>800000</v>
      </c>
      <c r="O117" s="24">
        <v>380000</v>
      </c>
      <c r="P117" s="24">
        <v>188000</v>
      </c>
      <c r="Q117" s="39">
        <v>500000</v>
      </c>
    </row>
    <row r="118" spans="1:17" ht="15">
      <c r="A118" s="81"/>
      <c r="B118" s="1" t="s">
        <v>80</v>
      </c>
      <c r="C118" s="18"/>
      <c r="D118" s="24"/>
      <c r="E118" s="24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</row>
    <row r="119" spans="1:17" ht="15">
      <c r="A119" s="81"/>
      <c r="B119" s="1" t="s">
        <v>81</v>
      </c>
      <c r="C119" s="18" t="s">
        <v>40</v>
      </c>
      <c r="D119" s="24"/>
      <c r="E119" s="24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</row>
    <row r="120" spans="1:17" ht="15">
      <c r="A120" s="81"/>
      <c r="B120" s="1" t="s">
        <v>82</v>
      </c>
      <c r="C120" s="18" t="s">
        <v>40</v>
      </c>
      <c r="D120" s="24"/>
      <c r="E120" s="24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</row>
    <row r="121" spans="1:17" ht="15">
      <c r="A121" s="81"/>
      <c r="B121" s="1" t="s">
        <v>83</v>
      </c>
      <c r="C121" s="18" t="s">
        <v>40</v>
      </c>
      <c r="D121" s="24">
        <v>3963</v>
      </c>
      <c r="E121" s="24">
        <v>2889</v>
      </c>
      <c r="F121" s="39"/>
      <c r="G121" s="24">
        <v>3110</v>
      </c>
      <c r="H121" s="24"/>
      <c r="I121" s="39"/>
      <c r="J121" s="39"/>
      <c r="K121" s="39"/>
      <c r="L121" s="39"/>
      <c r="M121" s="39"/>
      <c r="N121" s="39"/>
      <c r="O121" s="39"/>
      <c r="P121" s="39"/>
      <c r="Q121" s="39"/>
    </row>
    <row r="122" spans="1:17" ht="15">
      <c r="A122" s="81"/>
      <c r="B122" s="1" t="s">
        <v>80</v>
      </c>
      <c r="C122" s="18"/>
      <c r="D122" s="24"/>
      <c r="E122" s="24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</row>
    <row r="123" spans="1:17" ht="15">
      <c r="A123" s="81"/>
      <c r="B123" s="1" t="s">
        <v>84</v>
      </c>
      <c r="C123" s="18" t="s">
        <v>40</v>
      </c>
      <c r="D123" s="24"/>
      <c r="E123" s="24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</row>
    <row r="124" spans="1:17" ht="15">
      <c r="A124" s="81"/>
      <c r="B124" s="1" t="s">
        <v>85</v>
      </c>
      <c r="C124" s="18" t="s">
        <v>40</v>
      </c>
      <c r="D124" s="24"/>
      <c r="E124" s="24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</row>
    <row r="125" spans="1:17" ht="15">
      <c r="A125" s="81"/>
      <c r="B125" s="1" t="s">
        <v>86</v>
      </c>
      <c r="C125" s="18" t="s">
        <v>40</v>
      </c>
      <c r="D125" s="24"/>
      <c r="E125" s="24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</row>
    <row r="126" spans="1:17" ht="15">
      <c r="A126" s="81"/>
      <c r="B126" s="1" t="s">
        <v>87</v>
      </c>
      <c r="C126" s="18"/>
      <c r="D126" s="24"/>
      <c r="E126" s="24">
        <v>2666</v>
      </c>
      <c r="F126" s="39"/>
      <c r="G126" s="24">
        <v>58213.6</v>
      </c>
      <c r="H126" s="24">
        <v>1500</v>
      </c>
      <c r="I126" s="39">
        <v>1000</v>
      </c>
      <c r="J126" s="24">
        <v>1200</v>
      </c>
      <c r="K126" s="24">
        <v>5000</v>
      </c>
      <c r="L126" s="24">
        <v>1500</v>
      </c>
      <c r="M126" s="24">
        <v>2000</v>
      </c>
      <c r="N126" s="24">
        <v>5000</v>
      </c>
      <c r="O126" s="24">
        <v>1500</v>
      </c>
      <c r="P126" s="24">
        <v>2000</v>
      </c>
      <c r="Q126" s="39">
        <v>5000</v>
      </c>
    </row>
    <row r="127" spans="1:17" ht="15">
      <c r="A127" s="81"/>
      <c r="B127" s="1" t="s">
        <v>88</v>
      </c>
      <c r="C127" s="18" t="s">
        <v>40</v>
      </c>
      <c r="D127" s="24"/>
      <c r="E127" s="24"/>
      <c r="F127" s="39"/>
      <c r="G127" s="24"/>
      <c r="H127" s="24"/>
      <c r="I127" s="39"/>
      <c r="J127" s="39"/>
      <c r="K127" s="39"/>
      <c r="L127" s="39"/>
      <c r="M127" s="39"/>
      <c r="N127" s="39"/>
      <c r="O127" s="39"/>
      <c r="P127" s="39"/>
      <c r="Q127" s="39"/>
    </row>
    <row r="128" spans="1:17" ht="15">
      <c r="A128" s="81"/>
      <c r="B128" s="1" t="s">
        <v>89</v>
      </c>
      <c r="C128" s="18" t="s">
        <v>40</v>
      </c>
      <c r="D128" s="24"/>
      <c r="E128" s="24"/>
      <c r="F128" s="39"/>
      <c r="G128" s="24">
        <v>55675.8</v>
      </c>
      <c r="H128" s="24"/>
      <c r="I128" s="39"/>
      <c r="J128" s="39"/>
      <c r="K128" s="39"/>
      <c r="L128" s="39"/>
      <c r="M128" s="39"/>
      <c r="N128" s="39"/>
      <c r="O128" s="39"/>
      <c r="P128" s="39"/>
      <c r="Q128" s="39"/>
    </row>
    <row r="129" spans="1:17" ht="15">
      <c r="A129" s="81"/>
      <c r="B129" s="1" t="s">
        <v>90</v>
      </c>
      <c r="C129" s="18" t="s">
        <v>40</v>
      </c>
      <c r="D129" s="24"/>
      <c r="E129" s="24"/>
      <c r="F129" s="39"/>
      <c r="G129" s="24">
        <v>851.8</v>
      </c>
      <c r="H129" s="24"/>
      <c r="I129" s="39"/>
      <c r="J129" s="39"/>
      <c r="K129" s="39"/>
      <c r="L129" s="39"/>
      <c r="M129" s="39"/>
      <c r="N129" s="39"/>
      <c r="O129" s="39"/>
      <c r="P129" s="39"/>
      <c r="Q129" s="39"/>
    </row>
    <row r="130" spans="1:17" ht="15">
      <c r="A130" s="81"/>
      <c r="B130" s="1" t="s">
        <v>91</v>
      </c>
      <c r="C130" s="18" t="s">
        <v>40</v>
      </c>
      <c r="D130" s="24"/>
      <c r="E130" s="24"/>
      <c r="F130" s="39"/>
      <c r="G130" s="24">
        <v>1686</v>
      </c>
      <c r="H130" s="24"/>
      <c r="I130" s="39"/>
      <c r="J130" s="39"/>
      <c r="K130" s="39"/>
      <c r="L130" s="39"/>
      <c r="M130" s="39"/>
      <c r="N130" s="39"/>
      <c r="O130" s="39"/>
      <c r="P130" s="39"/>
      <c r="Q130" s="39"/>
    </row>
    <row r="131" spans="1:17" ht="15">
      <c r="A131" s="81"/>
      <c r="B131" s="1" t="s">
        <v>92</v>
      </c>
      <c r="C131" s="18" t="s">
        <v>40</v>
      </c>
      <c r="D131" s="24"/>
      <c r="E131" s="24"/>
      <c r="F131" s="39"/>
      <c r="G131" s="24">
        <v>15000</v>
      </c>
      <c r="H131" s="24">
        <v>12000</v>
      </c>
      <c r="I131" s="39">
        <v>9000</v>
      </c>
      <c r="J131" s="24">
        <v>13000</v>
      </c>
      <c r="K131" s="39">
        <v>15000</v>
      </c>
      <c r="L131" s="39">
        <v>9800</v>
      </c>
      <c r="M131" s="24">
        <v>13500</v>
      </c>
      <c r="N131" s="39">
        <v>15600</v>
      </c>
      <c r="O131" s="39">
        <v>10500</v>
      </c>
      <c r="P131" s="24">
        <v>14000</v>
      </c>
      <c r="Q131" s="39">
        <v>16000</v>
      </c>
    </row>
    <row r="132" spans="1:17" ht="15.75" customHeight="1">
      <c r="A132" s="82"/>
      <c r="B132" s="1" t="s">
        <v>93</v>
      </c>
      <c r="C132" s="18" t="s">
        <v>40</v>
      </c>
      <c r="D132" s="24"/>
      <c r="E132" s="24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</row>
    <row r="133" spans="2:3" ht="15">
      <c r="B133" s="25"/>
      <c r="C133" s="5" t="s">
        <v>121</v>
      </c>
    </row>
    <row r="134" spans="2:3" ht="15">
      <c r="B134" s="26"/>
      <c r="C134" s="5" t="s">
        <v>122</v>
      </c>
    </row>
    <row r="135" spans="2:3" ht="15">
      <c r="B135" s="28"/>
      <c r="C135" s="5" t="s">
        <v>123</v>
      </c>
    </row>
    <row r="136" spans="2:3" ht="30">
      <c r="B136" s="30"/>
      <c r="C136" s="5" t="s">
        <v>125</v>
      </c>
    </row>
    <row r="137" spans="2:3" ht="45">
      <c r="B137" s="31"/>
      <c r="C137" s="5" t="s">
        <v>126</v>
      </c>
    </row>
    <row r="138" spans="2:3" ht="30">
      <c r="B138" s="32"/>
      <c r="C138" s="5" t="s">
        <v>127</v>
      </c>
    </row>
    <row r="139" spans="2:3" ht="75">
      <c r="B139" s="35"/>
      <c r="C139" s="5" t="s">
        <v>128</v>
      </c>
    </row>
    <row r="140" ht="15">
      <c r="B140" s="4" t="s">
        <v>124</v>
      </c>
    </row>
  </sheetData>
  <sheetProtection/>
  <mergeCells count="72">
    <mergeCell ref="A46:A47"/>
    <mergeCell ref="B28:B29"/>
    <mergeCell ref="A35:A36"/>
    <mergeCell ref="A9:B9"/>
    <mergeCell ref="L7:N7"/>
    <mergeCell ref="A6:A8"/>
    <mergeCell ref="A90:A91"/>
    <mergeCell ref="A92:A93"/>
    <mergeCell ref="A28:A29"/>
    <mergeCell ref="A41:A42"/>
    <mergeCell ref="A50:B50"/>
    <mergeCell ref="B22:B27"/>
    <mergeCell ref="B1:Q1"/>
    <mergeCell ref="B2:Q2"/>
    <mergeCell ref="B3:Q3"/>
    <mergeCell ref="B6:B8"/>
    <mergeCell ref="C6:C8"/>
    <mergeCell ref="A116:A132"/>
    <mergeCell ref="A94:A104"/>
    <mergeCell ref="B35:B36"/>
    <mergeCell ref="F7:F8"/>
    <mergeCell ref="A10:A11"/>
    <mergeCell ref="B41:B42"/>
    <mergeCell ref="G7:G8"/>
    <mergeCell ref="E7:E8"/>
    <mergeCell ref="A31:B31"/>
    <mergeCell ref="H7:H8"/>
    <mergeCell ref="A22:A27"/>
    <mergeCell ref="B19:B20"/>
    <mergeCell ref="A13:A14"/>
    <mergeCell ref="A16:A17"/>
    <mergeCell ref="A19:A20"/>
    <mergeCell ref="B44:B45"/>
    <mergeCell ref="B69:B70"/>
    <mergeCell ref="A62:B62"/>
    <mergeCell ref="A72:A82"/>
    <mergeCell ref="B81:B82"/>
    <mergeCell ref="B4:Q4"/>
    <mergeCell ref="O7:Q7"/>
    <mergeCell ref="D7:D8"/>
    <mergeCell ref="I6:Q6"/>
    <mergeCell ref="I7:K7"/>
    <mergeCell ref="A63:A64"/>
    <mergeCell ref="A65:A66"/>
    <mergeCell ref="A69:A70"/>
    <mergeCell ref="B77:B78"/>
    <mergeCell ref="A44:A45"/>
    <mergeCell ref="B63:B64"/>
    <mergeCell ref="B72:B73"/>
    <mergeCell ref="B75:B76"/>
    <mergeCell ref="B46:B47"/>
    <mergeCell ref="B65:B66"/>
    <mergeCell ref="B10:B11"/>
    <mergeCell ref="B13:B14"/>
    <mergeCell ref="B16:B17"/>
    <mergeCell ref="B97:B98"/>
    <mergeCell ref="B99:B100"/>
    <mergeCell ref="A43:B43"/>
    <mergeCell ref="B79:B80"/>
    <mergeCell ref="B90:B91"/>
    <mergeCell ref="B88:B89"/>
    <mergeCell ref="A71:B71"/>
    <mergeCell ref="A112:B112"/>
    <mergeCell ref="A107:B107"/>
    <mergeCell ref="A87:B87"/>
    <mergeCell ref="B85:B86"/>
    <mergeCell ref="A85:A86"/>
    <mergeCell ref="A88:A89"/>
    <mergeCell ref="B92:B93"/>
    <mergeCell ref="B94:B95"/>
    <mergeCell ref="B103:B104"/>
    <mergeCell ref="B101:B102"/>
  </mergeCells>
  <printOptions/>
  <pageMargins left="0.1968503937007874" right="0.1968503937007874" top="0.3937007874015748" bottom="0.1968503937007874" header="0" footer="0"/>
  <pageSetup fitToHeight="0" fitToWidth="1" horizontalDpi="600" verticalDpi="600" orientation="landscape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User</cp:lastModifiedBy>
  <cp:lastPrinted>2018-07-02T06:12:07Z</cp:lastPrinted>
  <dcterms:created xsi:type="dcterms:W3CDTF">2013-05-25T16:45:04Z</dcterms:created>
  <dcterms:modified xsi:type="dcterms:W3CDTF">2018-07-02T06:24:23Z</dcterms:modified>
  <cp:category/>
  <cp:version/>
  <cp:contentType/>
  <cp:contentStatus/>
</cp:coreProperties>
</file>